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480" yWindow="180" windowWidth="9640" windowHeight="5460" tabRatio="594"/>
  </bookViews>
  <sheets>
    <sheet name="FINAL" sheetId="1" r:id="rId1"/>
  </sheets>
  <definedNames>
    <definedName name="_Regression_Int" localSheetId="0" hidden="1">1</definedName>
    <definedName name="_xlnm.Print_Area" localSheetId="0">FINAL!$A$5:$X$63</definedName>
    <definedName name="Print_Area_MI" localSheetId="0">FINAL!$A$64:$W$64</definedName>
  </definedNames>
  <calcPr calcId="145621"/>
</workbook>
</file>

<file path=xl/calcChain.xml><?xml version="1.0" encoding="utf-8"?>
<calcChain xmlns="http://schemas.openxmlformats.org/spreadsheetml/2006/main">
  <c r="D17" i="1" l="1"/>
  <c r="X54" i="1" l="1"/>
  <c r="V45" i="1"/>
  <c r="X58" i="1"/>
  <c r="X57" i="1"/>
  <c r="W58" i="1"/>
  <c r="W57" i="1"/>
  <c r="W54" i="1"/>
  <c r="X53" i="1"/>
  <c r="W53" i="1"/>
  <c r="V53" i="1"/>
  <c r="V54" i="1"/>
  <c r="V49" i="1"/>
  <c r="V50" i="1"/>
  <c r="W49" i="1"/>
  <c r="W50" i="1"/>
  <c r="X49" i="1"/>
  <c r="X50" i="1"/>
  <c r="U53" i="1"/>
  <c r="U54" i="1"/>
  <c r="U55" i="1" s="1"/>
  <c r="U49" i="1"/>
  <c r="U50" i="1"/>
  <c r="P53" i="1"/>
  <c r="P54" i="1"/>
  <c r="P49" i="1"/>
  <c r="P50" i="1"/>
  <c r="Q53" i="1"/>
  <c r="Q54" i="1"/>
  <c r="Q55" i="1" s="1"/>
  <c r="Q49" i="1"/>
  <c r="Q50" i="1"/>
  <c r="R53" i="1"/>
  <c r="R54" i="1"/>
  <c r="R49" i="1"/>
  <c r="R51" i="1" s="1"/>
  <c r="R50" i="1"/>
  <c r="S53" i="1"/>
  <c r="S54" i="1"/>
  <c r="S49" i="1"/>
  <c r="S50" i="1"/>
  <c r="T53" i="1"/>
  <c r="T54" i="1"/>
  <c r="T49" i="1"/>
  <c r="T50" i="1"/>
  <c r="O53" i="1"/>
  <c r="O54" i="1"/>
  <c r="O49" i="1"/>
  <c r="O50" i="1"/>
  <c r="P57" i="1"/>
  <c r="P58" i="1"/>
  <c r="Q57" i="1"/>
  <c r="Q58" i="1"/>
  <c r="R57" i="1"/>
  <c r="R58" i="1"/>
  <c r="O57" i="1"/>
  <c r="O58" i="1"/>
  <c r="S57" i="1"/>
  <c r="S58" i="1"/>
  <c r="T57" i="1"/>
  <c r="T58" i="1"/>
  <c r="U57" i="1"/>
  <c r="U58" i="1"/>
  <c r="V57" i="1"/>
  <c r="V58" i="1"/>
  <c r="Q46" i="1"/>
  <c r="P42" i="1"/>
  <c r="O42" i="1"/>
  <c r="X46" i="1"/>
  <c r="X45" i="1"/>
  <c r="W46" i="1"/>
  <c r="W45" i="1"/>
  <c r="V46" i="1"/>
  <c r="U46" i="1"/>
  <c r="U45" i="1"/>
  <c r="T46" i="1"/>
  <c r="T45" i="1"/>
  <c r="S46" i="1"/>
  <c r="S45" i="1"/>
  <c r="R46" i="1"/>
  <c r="R45" i="1"/>
  <c r="Q45" i="1"/>
  <c r="Q47" i="1" s="1"/>
  <c r="P46" i="1"/>
  <c r="P45" i="1"/>
  <c r="O46" i="1"/>
  <c r="O45" i="1"/>
  <c r="X42" i="1"/>
  <c r="X41" i="1"/>
  <c r="W42" i="1"/>
  <c r="W41" i="1"/>
  <c r="V42" i="1"/>
  <c r="V41" i="1"/>
  <c r="U42" i="1"/>
  <c r="U41" i="1"/>
  <c r="T42" i="1"/>
  <c r="T41" i="1"/>
  <c r="S42" i="1"/>
  <c r="S41" i="1"/>
  <c r="R42" i="1"/>
  <c r="R41" i="1"/>
  <c r="Q42" i="1"/>
  <c r="Q41" i="1"/>
  <c r="P41" i="1"/>
  <c r="O41" i="1"/>
  <c r="H17" i="1"/>
  <c r="H18" i="1"/>
  <c r="X37" i="1"/>
  <c r="X38" i="1"/>
  <c r="X39" i="1" s="1"/>
  <c r="W37" i="1"/>
  <c r="W38" i="1"/>
  <c r="V37" i="1"/>
  <c r="V38" i="1"/>
  <c r="U37" i="1"/>
  <c r="U38" i="1"/>
  <c r="T37" i="1"/>
  <c r="T38" i="1"/>
  <c r="S37" i="1"/>
  <c r="S38" i="1"/>
  <c r="R37" i="1"/>
  <c r="R38" i="1"/>
  <c r="Q37" i="1"/>
  <c r="Q38" i="1"/>
  <c r="P37" i="1"/>
  <c r="P38" i="1"/>
  <c r="P39" i="1" s="1"/>
  <c r="O37" i="1"/>
  <c r="O38" i="1"/>
  <c r="X33" i="1"/>
  <c r="X34" i="1"/>
  <c r="W33" i="1"/>
  <c r="W34" i="1"/>
  <c r="V33" i="1"/>
  <c r="V34" i="1"/>
  <c r="U33" i="1"/>
  <c r="U34" i="1"/>
  <c r="T33" i="1"/>
  <c r="T34" i="1"/>
  <c r="S33" i="1"/>
  <c r="S34" i="1"/>
  <c r="R33" i="1"/>
  <c r="R34" i="1"/>
  <c r="Q33" i="1"/>
  <c r="Q34" i="1"/>
  <c r="P33" i="1"/>
  <c r="P34" i="1"/>
  <c r="O33" i="1"/>
  <c r="O34" i="1"/>
  <c r="X29" i="1"/>
  <c r="X30" i="1"/>
  <c r="W29" i="1"/>
  <c r="W30" i="1"/>
  <c r="V29" i="1"/>
  <c r="V30" i="1"/>
  <c r="U29" i="1"/>
  <c r="U30" i="1"/>
  <c r="T29" i="1"/>
  <c r="T30" i="1"/>
  <c r="T31" i="1" s="1"/>
  <c r="S29" i="1"/>
  <c r="S30" i="1"/>
  <c r="R29" i="1"/>
  <c r="R30" i="1"/>
  <c r="Q29" i="1"/>
  <c r="Q30" i="1"/>
  <c r="P29" i="1"/>
  <c r="P30" i="1"/>
  <c r="O29" i="1"/>
  <c r="O30" i="1"/>
  <c r="X25" i="1"/>
  <c r="X26" i="1"/>
  <c r="W25" i="1"/>
  <c r="W26" i="1"/>
  <c r="V25" i="1"/>
  <c r="V26" i="1"/>
  <c r="U25" i="1"/>
  <c r="U26" i="1"/>
  <c r="T25" i="1"/>
  <c r="T26" i="1"/>
  <c r="S25" i="1"/>
  <c r="S26" i="1"/>
  <c r="R25" i="1"/>
  <c r="R26" i="1"/>
  <c r="Q25" i="1"/>
  <c r="Q26" i="1"/>
  <c r="P25" i="1"/>
  <c r="P26" i="1"/>
  <c r="O25" i="1"/>
  <c r="O26" i="1"/>
  <c r="X21" i="1"/>
  <c r="X22" i="1"/>
  <c r="W21" i="1"/>
  <c r="W22" i="1"/>
  <c r="V21" i="1"/>
  <c r="V22" i="1"/>
  <c r="U21" i="1"/>
  <c r="U22" i="1"/>
  <c r="T21" i="1"/>
  <c r="T22" i="1"/>
  <c r="S21" i="1"/>
  <c r="S22" i="1"/>
  <c r="R21" i="1"/>
  <c r="R22" i="1"/>
  <c r="Q21" i="1"/>
  <c r="Q22" i="1"/>
  <c r="P21" i="1"/>
  <c r="P22" i="1"/>
  <c r="O21" i="1"/>
  <c r="O22" i="1"/>
  <c r="X17" i="1"/>
  <c r="X18" i="1"/>
  <c r="W17" i="1"/>
  <c r="W18" i="1"/>
  <c r="V17" i="1"/>
  <c r="V18" i="1"/>
  <c r="U17" i="1"/>
  <c r="U18" i="1"/>
  <c r="T17" i="1"/>
  <c r="T18" i="1"/>
  <c r="T19" i="1" s="1"/>
  <c r="S17" i="1"/>
  <c r="S18" i="1"/>
  <c r="R17" i="1"/>
  <c r="R18" i="1"/>
  <c r="Q17" i="1"/>
  <c r="Q18" i="1"/>
  <c r="P17" i="1"/>
  <c r="P18" i="1"/>
  <c r="O17" i="1"/>
  <c r="O18" i="1"/>
  <c r="L61" i="1"/>
  <c r="L62" i="1"/>
  <c r="K61" i="1"/>
  <c r="K62" i="1"/>
  <c r="J61" i="1"/>
  <c r="J62" i="1"/>
  <c r="H61" i="1"/>
  <c r="H62" i="1"/>
  <c r="G61" i="1"/>
  <c r="G62" i="1"/>
  <c r="F61" i="1"/>
  <c r="F62" i="1"/>
  <c r="F63" i="1"/>
  <c r="E61" i="1"/>
  <c r="E62" i="1"/>
  <c r="D61" i="1"/>
  <c r="D62" i="1"/>
  <c r="C61" i="1"/>
  <c r="C62" i="1"/>
  <c r="B61" i="1"/>
  <c r="B62" i="1"/>
  <c r="L57" i="1"/>
  <c r="L58" i="1"/>
  <c r="K57" i="1"/>
  <c r="K58" i="1"/>
  <c r="J57" i="1"/>
  <c r="J58" i="1"/>
  <c r="H57" i="1"/>
  <c r="H58" i="1"/>
  <c r="G57" i="1"/>
  <c r="G58" i="1"/>
  <c r="F57" i="1"/>
  <c r="F58" i="1"/>
  <c r="E57" i="1"/>
  <c r="E58" i="1"/>
  <c r="D57" i="1"/>
  <c r="D58" i="1"/>
  <c r="C57" i="1"/>
  <c r="C58" i="1"/>
  <c r="B57" i="1"/>
  <c r="B58" i="1"/>
  <c r="L53" i="1"/>
  <c r="L54" i="1"/>
  <c r="K53" i="1"/>
  <c r="K54" i="1"/>
  <c r="J53" i="1"/>
  <c r="J54" i="1"/>
  <c r="H53" i="1"/>
  <c r="H54" i="1"/>
  <c r="G53" i="1"/>
  <c r="G54" i="1"/>
  <c r="F53" i="1"/>
  <c r="F54" i="1"/>
  <c r="E53" i="1"/>
  <c r="E54" i="1"/>
  <c r="D53" i="1"/>
  <c r="D54" i="1"/>
  <c r="C53" i="1"/>
  <c r="C54" i="1"/>
  <c r="B53" i="1"/>
  <c r="B54" i="1"/>
  <c r="L49" i="1"/>
  <c r="L50" i="1"/>
  <c r="K49" i="1"/>
  <c r="K50" i="1"/>
  <c r="J49" i="1"/>
  <c r="J50" i="1"/>
  <c r="H49" i="1"/>
  <c r="H50" i="1"/>
  <c r="G49" i="1"/>
  <c r="G50" i="1"/>
  <c r="F49" i="1"/>
  <c r="F50" i="1"/>
  <c r="E49" i="1"/>
  <c r="E50" i="1"/>
  <c r="D49" i="1"/>
  <c r="D50" i="1"/>
  <c r="C49" i="1"/>
  <c r="C50" i="1"/>
  <c r="B49" i="1"/>
  <c r="B50" i="1"/>
  <c r="L45" i="1"/>
  <c r="L46" i="1"/>
  <c r="K45" i="1"/>
  <c r="K46" i="1"/>
  <c r="J45" i="1"/>
  <c r="J46" i="1"/>
  <c r="H45" i="1"/>
  <c r="H46" i="1"/>
  <c r="G45" i="1"/>
  <c r="G46" i="1"/>
  <c r="F45" i="1"/>
  <c r="F46" i="1"/>
  <c r="F47" i="1" s="1"/>
  <c r="E45" i="1"/>
  <c r="E46" i="1"/>
  <c r="D45" i="1"/>
  <c r="D46" i="1"/>
  <c r="C45" i="1"/>
  <c r="C46" i="1"/>
  <c r="B45" i="1"/>
  <c r="B46" i="1"/>
  <c r="L41" i="1"/>
  <c r="L42" i="1"/>
  <c r="K41" i="1"/>
  <c r="K42" i="1"/>
  <c r="J41" i="1"/>
  <c r="J42" i="1"/>
  <c r="H41" i="1"/>
  <c r="H42" i="1"/>
  <c r="G41" i="1"/>
  <c r="G42" i="1"/>
  <c r="F41" i="1"/>
  <c r="F42" i="1"/>
  <c r="E41" i="1"/>
  <c r="E42" i="1"/>
  <c r="D41" i="1"/>
  <c r="D42" i="1"/>
  <c r="C41" i="1"/>
  <c r="C42" i="1"/>
  <c r="B41" i="1"/>
  <c r="B42" i="1"/>
  <c r="L37" i="1"/>
  <c r="L38" i="1"/>
  <c r="K37" i="1"/>
  <c r="K38" i="1"/>
  <c r="J37" i="1"/>
  <c r="J38" i="1"/>
  <c r="H37" i="1"/>
  <c r="H38" i="1"/>
  <c r="G37" i="1"/>
  <c r="G38" i="1"/>
  <c r="F37" i="1"/>
  <c r="F38" i="1"/>
  <c r="E37" i="1"/>
  <c r="E38" i="1"/>
  <c r="D37" i="1"/>
  <c r="D38" i="1"/>
  <c r="C37" i="1"/>
  <c r="C38" i="1"/>
  <c r="B37" i="1"/>
  <c r="B38" i="1"/>
  <c r="L33" i="1"/>
  <c r="L34" i="1"/>
  <c r="K33" i="1"/>
  <c r="K34" i="1"/>
  <c r="J33" i="1"/>
  <c r="J34" i="1"/>
  <c r="I33" i="1"/>
  <c r="I34" i="1"/>
  <c r="H33" i="1"/>
  <c r="H34" i="1"/>
  <c r="G33" i="1"/>
  <c r="G34" i="1"/>
  <c r="F33" i="1"/>
  <c r="F34" i="1"/>
  <c r="E33" i="1"/>
  <c r="E34" i="1"/>
  <c r="D33" i="1"/>
  <c r="D34" i="1"/>
  <c r="C33" i="1"/>
  <c r="C34" i="1"/>
  <c r="B33" i="1"/>
  <c r="B34" i="1"/>
  <c r="L29" i="1"/>
  <c r="L30" i="1"/>
  <c r="K29" i="1"/>
  <c r="K30" i="1"/>
  <c r="J29" i="1"/>
  <c r="J30" i="1"/>
  <c r="I29" i="1"/>
  <c r="I30" i="1"/>
  <c r="H29" i="1"/>
  <c r="H30" i="1"/>
  <c r="G29" i="1"/>
  <c r="G30" i="1"/>
  <c r="F29" i="1"/>
  <c r="F30" i="1"/>
  <c r="E29" i="1"/>
  <c r="E30" i="1"/>
  <c r="D29" i="1"/>
  <c r="D30" i="1"/>
  <c r="C29" i="1"/>
  <c r="C30" i="1"/>
  <c r="B29" i="1"/>
  <c r="B30" i="1"/>
  <c r="L25" i="1"/>
  <c r="L26" i="1"/>
  <c r="K25" i="1"/>
  <c r="K26" i="1"/>
  <c r="J25" i="1"/>
  <c r="J26" i="1"/>
  <c r="I25" i="1"/>
  <c r="I26" i="1"/>
  <c r="H25" i="1"/>
  <c r="H26" i="1"/>
  <c r="G25" i="1"/>
  <c r="G26" i="1"/>
  <c r="F25" i="1"/>
  <c r="F26" i="1"/>
  <c r="E25" i="1"/>
  <c r="E26" i="1"/>
  <c r="D25" i="1"/>
  <c r="D26" i="1"/>
  <c r="C25" i="1"/>
  <c r="C26" i="1"/>
  <c r="B25" i="1"/>
  <c r="B26" i="1"/>
  <c r="L21" i="1"/>
  <c r="L22" i="1"/>
  <c r="K21" i="1"/>
  <c r="K22" i="1"/>
  <c r="J21" i="1"/>
  <c r="J22" i="1"/>
  <c r="I21" i="1"/>
  <c r="I22" i="1"/>
  <c r="H21" i="1"/>
  <c r="H22" i="1"/>
  <c r="G21" i="1"/>
  <c r="G22" i="1"/>
  <c r="F21" i="1"/>
  <c r="F22" i="1"/>
  <c r="F23" i="1" s="1"/>
  <c r="E21" i="1"/>
  <c r="E22" i="1"/>
  <c r="D21" i="1"/>
  <c r="D22" i="1"/>
  <c r="C21" i="1"/>
  <c r="C22" i="1"/>
  <c r="B21" i="1"/>
  <c r="B22" i="1"/>
  <c r="L17" i="1"/>
  <c r="L18" i="1"/>
  <c r="K17" i="1"/>
  <c r="K18" i="1"/>
  <c r="J17" i="1"/>
  <c r="J18" i="1"/>
  <c r="I17" i="1"/>
  <c r="I18" i="1"/>
  <c r="G17" i="1"/>
  <c r="G18" i="1"/>
  <c r="F17" i="1"/>
  <c r="F18" i="1"/>
  <c r="E17" i="1"/>
  <c r="E18" i="1"/>
  <c r="D18" i="1"/>
  <c r="C17" i="1"/>
  <c r="C18" i="1"/>
  <c r="B17" i="1"/>
  <c r="B18" i="1"/>
  <c r="P19" i="1" l="1"/>
  <c r="J43" i="1"/>
  <c r="C55" i="1"/>
  <c r="R55" i="1"/>
  <c r="I23" i="1"/>
  <c r="K31" i="1"/>
  <c r="C59" i="1"/>
  <c r="G59" i="1"/>
  <c r="L23" i="1"/>
  <c r="I27" i="1"/>
  <c r="F31" i="1"/>
  <c r="V51" i="1"/>
  <c r="K55" i="1"/>
  <c r="C39" i="1"/>
  <c r="J63" i="1"/>
  <c r="J19" i="1"/>
  <c r="P59" i="1"/>
  <c r="P27" i="1"/>
  <c r="V47" i="1"/>
  <c r="C19" i="1"/>
  <c r="G19" i="1"/>
  <c r="D35" i="1"/>
  <c r="L35" i="1"/>
  <c r="H55" i="1"/>
  <c r="G63" i="1"/>
  <c r="Q35" i="1"/>
  <c r="W39" i="1"/>
  <c r="U59" i="1"/>
  <c r="R59" i="1"/>
  <c r="W59" i="1"/>
  <c r="W19" i="1"/>
  <c r="S27" i="1"/>
  <c r="Q31" i="1"/>
  <c r="V43" i="1"/>
  <c r="H31" i="1"/>
  <c r="E39" i="1"/>
  <c r="J39" i="1"/>
  <c r="C35" i="1"/>
  <c r="K35" i="1"/>
  <c r="X19" i="1"/>
  <c r="W35" i="1"/>
  <c r="U39" i="1"/>
  <c r="V55" i="1"/>
  <c r="B27" i="1"/>
  <c r="G31" i="1"/>
  <c r="F43" i="1"/>
  <c r="B51" i="1"/>
  <c r="K51" i="1"/>
  <c r="J59" i="1"/>
  <c r="Q19" i="1"/>
  <c r="T27" i="1"/>
  <c r="X51" i="1"/>
  <c r="H23" i="1"/>
  <c r="I31" i="1"/>
  <c r="L31" i="1"/>
  <c r="E35" i="1"/>
  <c r="F35" i="1"/>
  <c r="G39" i="1"/>
  <c r="K39" i="1"/>
  <c r="H43" i="1"/>
  <c r="E55" i="1"/>
  <c r="E59" i="1"/>
  <c r="R23" i="1"/>
  <c r="W23" i="1"/>
  <c r="O27" i="1"/>
  <c r="T59" i="1"/>
  <c r="Q59" i="1"/>
  <c r="J55" i="1"/>
  <c r="P23" i="1"/>
  <c r="S51" i="1"/>
  <c r="O43" i="1"/>
  <c r="P43" i="1"/>
  <c r="Q43" i="1"/>
  <c r="U47" i="1"/>
  <c r="S47" i="1"/>
  <c r="F19" i="1"/>
  <c r="L27" i="1"/>
  <c r="B39" i="1"/>
  <c r="C43" i="1"/>
  <c r="G43" i="1"/>
  <c r="J47" i="1"/>
  <c r="C51" i="1"/>
  <c r="F59" i="1"/>
  <c r="D63" i="1"/>
  <c r="P35" i="1"/>
  <c r="T35" i="1"/>
  <c r="X35" i="1"/>
  <c r="O59" i="1"/>
  <c r="H51" i="1"/>
  <c r="L19" i="1"/>
  <c r="O55" i="1"/>
  <c r="Q51" i="1"/>
  <c r="W51" i="1"/>
  <c r="D51" i="1"/>
  <c r="X23" i="1"/>
  <c r="G23" i="1"/>
  <c r="U35" i="1"/>
  <c r="O39" i="1"/>
  <c r="R47" i="1"/>
  <c r="X59" i="1"/>
  <c r="B55" i="1"/>
  <c r="R35" i="1"/>
  <c r="D55" i="1"/>
  <c r="B31" i="1"/>
  <c r="S43" i="1"/>
  <c r="W43" i="1"/>
  <c r="I19" i="1"/>
  <c r="L63" i="1"/>
  <c r="O23" i="1"/>
  <c r="F27" i="1"/>
  <c r="L59" i="1"/>
  <c r="H63" i="1"/>
  <c r="X27" i="1"/>
  <c r="S59" i="1"/>
  <c r="C31" i="1"/>
  <c r="H47" i="1"/>
  <c r="D59" i="1"/>
  <c r="H59" i="1"/>
  <c r="V31" i="1"/>
  <c r="U31" i="1"/>
  <c r="V35" i="1"/>
  <c r="E51" i="1"/>
  <c r="R19" i="1"/>
  <c r="C27" i="1"/>
  <c r="G27" i="1"/>
  <c r="K27" i="1"/>
  <c r="L43" i="1"/>
  <c r="L55" i="1"/>
  <c r="U27" i="1"/>
  <c r="O31" i="1"/>
  <c r="S31" i="1"/>
  <c r="B35" i="1"/>
  <c r="G47" i="1"/>
  <c r="D27" i="1"/>
  <c r="H35" i="1"/>
  <c r="L39" i="1"/>
  <c r="G51" i="1"/>
  <c r="V27" i="1"/>
  <c r="R39" i="1"/>
  <c r="H19" i="1"/>
  <c r="T47" i="1"/>
  <c r="P55" i="1"/>
  <c r="E19" i="1"/>
  <c r="B63" i="1"/>
  <c r="V19" i="1"/>
  <c r="S39" i="1"/>
  <c r="V59" i="1"/>
  <c r="T51" i="1"/>
  <c r="W47" i="1"/>
  <c r="J35" i="1"/>
  <c r="C63" i="1"/>
  <c r="T55" i="1"/>
  <c r="D19" i="1"/>
  <c r="E23" i="1"/>
  <c r="K23" i="1"/>
  <c r="D39" i="1"/>
  <c r="H39" i="1"/>
  <c r="D43" i="1"/>
  <c r="E47" i="1"/>
  <c r="L47" i="1"/>
  <c r="O19" i="1"/>
  <c r="U19" i="1"/>
  <c r="V23" i="1"/>
  <c r="R27" i="1"/>
  <c r="U43" i="1"/>
  <c r="U51" i="1"/>
  <c r="I35" i="1"/>
  <c r="S35" i="1"/>
  <c r="R43" i="1"/>
  <c r="F55" i="1"/>
  <c r="G35" i="1"/>
  <c r="F39" i="1"/>
  <c r="C47" i="1"/>
  <c r="K59" i="1"/>
  <c r="K63" i="1"/>
  <c r="T23" i="1"/>
  <c r="Q39" i="1"/>
  <c r="O47" i="1"/>
  <c r="X47" i="1"/>
  <c r="O51" i="1"/>
  <c r="P51" i="1"/>
  <c r="J31" i="1"/>
  <c r="B59" i="1"/>
  <c r="B19" i="1"/>
  <c r="H27" i="1"/>
  <c r="B47" i="1"/>
  <c r="J51" i="1"/>
  <c r="S19" i="1"/>
  <c r="E27" i="1"/>
  <c r="W31" i="1"/>
  <c r="T39" i="1"/>
  <c r="C23" i="1"/>
  <c r="K19" i="1"/>
  <c r="D23" i="1"/>
  <c r="J23" i="1"/>
  <c r="J27" i="1"/>
  <c r="E31" i="1"/>
  <c r="K43" i="1"/>
  <c r="D47" i="1"/>
  <c r="K47" i="1"/>
  <c r="L51" i="1"/>
  <c r="G55" i="1"/>
  <c r="Q23" i="1"/>
  <c r="U23" i="1"/>
  <c r="Q27" i="1"/>
  <c r="R31" i="1"/>
  <c r="X31" i="1"/>
  <c r="T43" i="1"/>
  <c r="X43" i="1"/>
  <c r="P47" i="1"/>
  <c r="E43" i="1"/>
  <c r="B23" i="1"/>
  <c r="B43" i="1"/>
  <c r="S23" i="1"/>
  <c r="P31" i="1"/>
  <c r="D31" i="1"/>
  <c r="F51" i="1"/>
  <c r="W27" i="1"/>
  <c r="E63" i="1"/>
  <c r="O35" i="1"/>
  <c r="V39" i="1"/>
  <c r="S55" i="1"/>
  <c r="W55" i="1"/>
  <c r="X55" i="1"/>
</calcChain>
</file>

<file path=xl/sharedStrings.xml><?xml version="1.0" encoding="utf-8"?>
<sst xmlns="http://schemas.openxmlformats.org/spreadsheetml/2006/main" count="82" uniqueCount="40">
  <si>
    <t>CY BASE</t>
  </si>
  <si>
    <t>PY BASE</t>
  </si>
  <si>
    <t>CY EIA %</t>
  </si>
  <si>
    <t>CY BASE %</t>
  </si>
  <si>
    <t>CLASS 8</t>
  </si>
  <si>
    <t>CLASS 7</t>
  </si>
  <si>
    <t xml:space="preserve">                CLASS 1</t>
  </si>
  <si>
    <t xml:space="preserve">        CLASS 2</t>
  </si>
  <si>
    <t>CLASS 3</t>
  </si>
  <si>
    <t>MASTERS</t>
  </si>
  <si>
    <t xml:space="preserve">  BACHELORS </t>
  </si>
  <si>
    <t xml:space="preserve"> DR</t>
  </si>
  <si>
    <t>DEGREE</t>
  </si>
  <si>
    <t xml:space="preserve">               MASTERS</t>
  </si>
  <si>
    <t xml:space="preserve">   DEGREE </t>
  </si>
  <si>
    <t>YRS</t>
  </si>
  <si>
    <t>+30 HRS</t>
  </si>
  <si>
    <t xml:space="preserve">           DEGREE</t>
  </si>
  <si>
    <t xml:space="preserve"> +18 HRS</t>
  </si>
  <si>
    <t xml:space="preserve">        B A C H E L O R S     D E G R E E </t>
  </si>
  <si>
    <t>EXP</t>
  </si>
  <si>
    <t>A</t>
  </si>
  <si>
    <t>B</t>
  </si>
  <si>
    <t>C</t>
  </si>
  <si>
    <t>D</t>
  </si>
  <si>
    <t>|</t>
  </si>
  <si>
    <t>-</t>
  </si>
  <si>
    <t>2nd Figure - EIA Supplement</t>
  </si>
  <si>
    <t>3rd Figure - Total Minimum Salary</t>
  </si>
  <si>
    <t xml:space="preserve">Base - </t>
  </si>
  <si>
    <t xml:space="preserve">EIA  - </t>
  </si>
  <si>
    <t xml:space="preserve"> </t>
  </si>
  <si>
    <t xml:space="preserve">   CLASS 1</t>
  </si>
  <si>
    <t xml:space="preserve">     MASTERS</t>
  </si>
  <si>
    <t xml:space="preserve">   DEGREE</t>
  </si>
  <si>
    <t>+18 HRS</t>
  </si>
  <si>
    <t xml:space="preserve">NOTES: </t>
  </si>
  <si>
    <t>WARRANT</t>
  </si>
  <si>
    <t>1st Figure -  Base Salary</t>
  </si>
  <si>
    <t>Total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</si>
</sst>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_)"/>
    <numFmt numFmtId="165" formatCode="0.000_)"/>
    <numFmt numFmtId="166" formatCode="0.00000_)"/>
    <numFmt numFmtId="167" formatCode="0.000000_)"/>
  </numFmts>
  <fonts count="6" x14ac:knownFonts="1">
    <font>
      <sz val="10"/>
      <name val="Courier"/>
    </font>
    <font>
      <sz val="8"/>
      <name val="Arial"/>
      <family val="2"/>
    </font>
    <font>
      <sz val="8"/>
      <color indexed="12"/>
      <name val="Arial"/>
      <family val="2"/>
    </font>
    <font>
      <sz val="8"/>
      <color indexed="9"/>
      <name val="Arial"/>
      <family val="2"/>
    </font>
    <font>
      <b/>
      <i/>
      <sz val="8"/>
      <color indexed="9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164" fontId="0" fillId="0" borderId="0"/>
  </cellStyleXfs>
  <cellXfs count="97">
    <xf numFmtId="164" fontId="0" fillId="0" borderId="0" xfId="0"/>
    <xf numFmtId="164" fontId="1" fillId="0" borderId="0" xfId="0" applyFont="1"/>
    <xf numFmtId="164" fontId="2" fillId="0" borderId="0" xfId="0" applyNumberFormat="1" applyFont="1" applyProtection="1">
      <protection locked="0"/>
    </xf>
    <xf numFmtId="164" fontId="1" fillId="0" borderId="0" xfId="0" applyFont="1" applyBorder="1" applyAlignment="1" applyProtection="1">
      <alignment horizontal="right"/>
    </xf>
    <xf numFmtId="164" fontId="1" fillId="0" borderId="0" xfId="0" applyFont="1" applyBorder="1"/>
    <xf numFmtId="164" fontId="2" fillId="0" borderId="0" xfId="0" applyFont="1" applyProtection="1">
      <protection locked="0"/>
    </xf>
    <xf numFmtId="166" fontId="2" fillId="0" borderId="0" xfId="0" applyNumberFormat="1" applyFont="1" applyProtection="1">
      <protection locked="0"/>
    </xf>
    <xf numFmtId="164" fontId="1" fillId="0" borderId="0" xfId="0" quotePrefix="1" applyFont="1" applyBorder="1" applyAlignment="1" applyProtection="1">
      <alignment horizontal="right"/>
    </xf>
    <xf numFmtId="164" fontId="1" fillId="0" borderId="0" xfId="0" applyFont="1" applyAlignment="1" applyProtection="1">
      <alignment horizontal="fill"/>
    </xf>
    <xf numFmtId="164" fontId="1" fillId="0" borderId="0" xfId="0" applyFont="1" applyBorder="1" applyAlignment="1" applyProtection="1">
      <alignment horizontal="fill"/>
    </xf>
    <xf numFmtId="165" fontId="1" fillId="0" borderId="0" xfId="0" applyNumberFormat="1" applyFont="1" applyAlignment="1" applyProtection="1">
      <alignment horizontal="left"/>
    </xf>
    <xf numFmtId="165" fontId="1" fillId="0" borderId="0" xfId="0" applyNumberFormat="1" applyFont="1" applyBorder="1" applyAlignment="1" applyProtection="1">
      <alignment horizontal="left"/>
    </xf>
    <xf numFmtId="165" fontId="1" fillId="0" borderId="0" xfId="0" applyNumberFormat="1" applyFont="1" applyProtection="1"/>
    <xf numFmtId="164" fontId="1" fillId="0" borderId="0" xfId="0" applyFont="1" applyAlignment="1" applyProtection="1">
      <alignment horizontal="left"/>
    </xf>
    <xf numFmtId="164" fontId="1" fillId="0" borderId="0" xfId="0" quotePrefix="1" applyFont="1" applyAlignment="1" applyProtection="1">
      <alignment horizontal="left"/>
    </xf>
    <xf numFmtId="165" fontId="1" fillId="0" borderId="1" xfId="0" applyNumberFormat="1" applyFont="1" applyBorder="1" applyAlignment="1" applyProtection="1">
      <alignment horizontal="center"/>
    </xf>
    <xf numFmtId="165" fontId="1" fillId="0" borderId="0" xfId="0" quotePrefix="1" applyNumberFormat="1" applyFont="1" applyAlignment="1" applyProtection="1">
      <alignment horizontal="center"/>
    </xf>
    <xf numFmtId="165" fontId="1" fillId="0" borderId="2" xfId="0" applyNumberFormat="1" applyFont="1" applyBorder="1" applyProtection="1"/>
    <xf numFmtId="165" fontId="1" fillId="0" borderId="3" xfId="0" applyNumberFormat="1" applyFont="1" applyBorder="1" applyProtection="1"/>
    <xf numFmtId="164" fontId="1" fillId="2" borderId="0" xfId="0" applyFont="1" applyFill="1"/>
    <xf numFmtId="165" fontId="1" fillId="0" borderId="3" xfId="0" applyNumberFormat="1" applyFont="1" applyBorder="1" applyAlignment="1" applyProtection="1">
      <alignment horizontal="center"/>
    </xf>
    <xf numFmtId="165" fontId="1" fillId="0" borderId="3" xfId="0" quotePrefix="1" applyNumberFormat="1" applyFont="1" applyBorder="1" applyAlignment="1" applyProtection="1"/>
    <xf numFmtId="164" fontId="1" fillId="0" borderId="2" xfId="0" applyFont="1" applyBorder="1"/>
    <xf numFmtId="164" fontId="1" fillId="0" borderId="3" xfId="0" applyFont="1" applyBorder="1"/>
    <xf numFmtId="165" fontId="1" fillId="0" borderId="1" xfId="0" applyNumberFormat="1" applyFont="1" applyBorder="1" applyProtection="1"/>
    <xf numFmtId="165" fontId="1" fillId="0" borderId="1" xfId="0" quotePrefix="1" applyNumberFormat="1" applyFont="1" applyBorder="1" applyAlignment="1" applyProtection="1">
      <alignment horizontal="center"/>
    </xf>
    <xf numFmtId="164" fontId="1" fillId="0" borderId="0" xfId="0" applyFont="1" applyAlignment="1"/>
    <xf numFmtId="165" fontId="1" fillId="0" borderId="3" xfId="0" quotePrefix="1" applyNumberFormat="1" applyFont="1" applyBorder="1" applyAlignment="1" applyProtection="1">
      <alignment horizontal="center"/>
    </xf>
    <xf numFmtId="164" fontId="1" fillId="0" borderId="3" xfId="0" applyFont="1" applyBorder="1" applyAlignment="1"/>
    <xf numFmtId="165" fontId="1" fillId="0" borderId="0" xfId="0" applyNumberFormat="1" applyFont="1" applyAlignment="1" applyProtection="1">
      <alignment horizontal="center"/>
    </xf>
    <xf numFmtId="165" fontId="1" fillId="0" borderId="3" xfId="0" applyNumberFormat="1" applyFont="1" applyBorder="1" applyAlignment="1" applyProtection="1">
      <alignment horizontal="right"/>
    </xf>
    <xf numFmtId="164" fontId="1" fillId="0" borderId="0" xfId="0" applyFont="1" applyAlignment="1" applyProtection="1">
      <alignment horizontal="center"/>
    </xf>
    <xf numFmtId="165" fontId="1" fillId="0" borderId="0" xfId="0" quotePrefix="1" applyNumberFormat="1" applyFont="1" applyBorder="1" applyAlignment="1" applyProtection="1">
      <alignment horizontal="center"/>
    </xf>
    <xf numFmtId="165" fontId="1" fillId="0" borderId="0" xfId="0" quotePrefix="1" applyNumberFormat="1" applyFont="1" applyProtection="1"/>
    <xf numFmtId="165" fontId="1" fillId="0" borderId="3" xfId="0" quotePrefix="1" applyNumberFormat="1" applyFont="1" applyBorder="1" applyAlignment="1" applyProtection="1">
      <alignment horizontal="left"/>
    </xf>
    <xf numFmtId="165" fontId="1" fillId="0" borderId="3" xfId="0" quotePrefix="1" applyNumberFormat="1" applyFont="1" applyBorder="1" applyAlignment="1" applyProtection="1">
      <alignment horizontal="right"/>
    </xf>
    <xf numFmtId="164" fontId="1" fillId="0" borderId="0" xfId="0" applyFont="1" applyAlignment="1">
      <alignment horizontal="center"/>
    </xf>
    <xf numFmtId="165" fontId="1" fillId="0" borderId="2" xfId="0" applyNumberFormat="1" applyFont="1" applyBorder="1" applyAlignment="1" applyProtection="1">
      <alignment horizontal="center"/>
    </xf>
    <xf numFmtId="164" fontId="1" fillId="0" borderId="2" xfId="0" applyFont="1" applyBorder="1" applyAlignment="1" applyProtection="1">
      <alignment horizontal="center"/>
    </xf>
    <xf numFmtId="164" fontId="1" fillId="0" borderId="1" xfId="0" applyFont="1" applyBorder="1"/>
    <xf numFmtId="3" fontId="1" fillId="0" borderId="1" xfId="0" applyNumberFormat="1" applyFont="1" applyBorder="1" applyAlignment="1" applyProtection="1">
      <alignment horizontal="center"/>
    </xf>
    <xf numFmtId="3" fontId="1" fillId="0" borderId="0" xfId="0" applyNumberFormat="1" applyFont="1" applyAlignment="1" applyProtection="1">
      <alignment horizontal="center"/>
    </xf>
    <xf numFmtId="3" fontId="1" fillId="0" borderId="2" xfId="0" applyNumberFormat="1" applyFont="1" applyBorder="1" applyAlignment="1" applyProtection="1">
      <alignment horizontal="center"/>
    </xf>
    <xf numFmtId="3" fontId="1" fillId="0" borderId="3" xfId="0" applyNumberFormat="1" applyFont="1" applyBorder="1" applyAlignment="1" applyProtection="1">
      <alignment horizontal="center"/>
    </xf>
    <xf numFmtId="3" fontId="1" fillId="2" borderId="0" xfId="0" applyNumberFormat="1" applyFont="1" applyFill="1" applyAlignment="1">
      <alignment horizontal="center"/>
    </xf>
    <xf numFmtId="164" fontId="1" fillId="0" borderId="0" xfId="0" applyNumberFormat="1" applyFont="1" applyProtection="1"/>
    <xf numFmtId="3" fontId="1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3" borderId="0" xfId="0" applyFont="1" applyFill="1" applyAlignment="1" applyProtection="1">
      <alignment horizontal="center"/>
    </xf>
    <xf numFmtId="3" fontId="1" fillId="3" borderId="1" xfId="0" applyNumberFormat="1" applyFont="1" applyFill="1" applyBorder="1" applyAlignment="1" applyProtection="1">
      <alignment horizontal="center"/>
    </xf>
    <xf numFmtId="3" fontId="1" fillId="3" borderId="0" xfId="0" applyNumberFormat="1" applyFont="1" applyFill="1" applyAlignment="1" applyProtection="1">
      <alignment horizontal="center"/>
    </xf>
    <xf numFmtId="3" fontId="1" fillId="3" borderId="2" xfId="0" applyNumberFormat="1" applyFont="1" applyFill="1" applyBorder="1" applyAlignment="1" applyProtection="1">
      <alignment horizontal="center"/>
    </xf>
    <xf numFmtId="3" fontId="1" fillId="3" borderId="3" xfId="0" applyNumberFormat="1" applyFont="1" applyFill="1" applyBorder="1" applyAlignment="1" applyProtection="1">
      <alignment horizontal="center"/>
    </xf>
    <xf numFmtId="164" fontId="1" fillId="4" borderId="0" xfId="0" applyFont="1" applyFill="1"/>
    <xf numFmtId="164" fontId="1" fillId="3" borderId="0" xfId="0" applyFont="1" applyFill="1" applyAlignment="1">
      <alignment horizontal="center"/>
    </xf>
    <xf numFmtId="3" fontId="1" fillId="3" borderId="0" xfId="0" applyNumberFormat="1" applyFont="1" applyFill="1" applyAlignment="1">
      <alignment horizontal="center"/>
    </xf>
    <xf numFmtId="164" fontId="1" fillId="0" borderId="0" xfId="0" applyFont="1" applyFill="1" applyAlignment="1" applyProtection="1">
      <alignment horizontal="center"/>
    </xf>
    <xf numFmtId="3" fontId="1" fillId="0" borderId="1" xfId="0" applyNumberFormat="1" applyFont="1" applyFill="1" applyBorder="1" applyAlignment="1" applyProtection="1">
      <alignment horizontal="center"/>
    </xf>
    <xf numFmtId="3" fontId="1" fillId="0" borderId="0" xfId="0" applyNumberFormat="1" applyFont="1" applyFill="1" applyAlignment="1" applyProtection="1">
      <alignment horizont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  <xf numFmtId="164" fontId="1" fillId="0" borderId="3" xfId="0" applyFont="1" applyFill="1" applyBorder="1"/>
    <xf numFmtId="164" fontId="1" fillId="0" borderId="0" xfId="0" applyFont="1" applyFill="1"/>
    <xf numFmtId="164" fontId="1" fillId="0" borderId="0" xfId="0" applyFont="1" applyFill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 applyProtection="1">
      <alignment horizontal="center"/>
    </xf>
    <xf numFmtId="3" fontId="1" fillId="2" borderId="3" xfId="0" applyNumberFormat="1" applyFont="1" applyFill="1" applyBorder="1" applyAlignment="1">
      <alignment horizontal="center"/>
    </xf>
    <xf numFmtId="3" fontId="1" fillId="3" borderId="0" xfId="0" applyNumberFormat="1" applyFont="1" applyFill="1" applyBorder="1" applyAlignment="1">
      <alignment horizontal="center"/>
    </xf>
    <xf numFmtId="3" fontId="1" fillId="3" borderId="0" xfId="0" applyNumberFormat="1" applyFont="1" applyFill="1" applyBorder="1" applyAlignment="1" applyProtection="1">
      <alignment horizontal="center"/>
    </xf>
    <xf numFmtId="164" fontId="1" fillId="2" borderId="3" xfId="0" applyFont="1" applyFill="1" applyBorder="1"/>
    <xf numFmtId="164" fontId="1" fillId="3" borderId="1" xfId="0" applyNumberFormat="1" applyFont="1" applyFill="1" applyBorder="1" applyAlignment="1" applyProtection="1">
      <alignment horizontal="center"/>
    </xf>
    <xf numFmtId="164" fontId="1" fillId="3" borderId="0" xfId="0" applyNumberFormat="1" applyFont="1" applyFill="1" applyAlignment="1" applyProtection="1">
      <alignment horizontal="center"/>
    </xf>
    <xf numFmtId="164" fontId="1" fillId="3" borderId="2" xfId="0" applyNumberFormat="1" applyFont="1" applyFill="1" applyBorder="1" applyAlignment="1" applyProtection="1">
      <alignment horizontal="center"/>
    </xf>
    <xf numFmtId="164" fontId="1" fillId="3" borderId="3" xfId="0" applyNumberFormat="1" applyFont="1" applyFill="1" applyBorder="1" applyAlignment="1" applyProtection="1">
      <alignment horizontal="center"/>
    </xf>
    <xf numFmtId="164" fontId="1" fillId="0" borderId="0" xfId="0" applyFont="1" applyFill="1" applyBorder="1"/>
    <xf numFmtId="166" fontId="2" fillId="0" borderId="0" xfId="0" applyNumberFormat="1" applyFont="1" applyProtection="1"/>
    <xf numFmtId="164" fontId="1" fillId="0" borderId="0" xfId="0" quotePrefix="1" applyFont="1" applyFill="1" applyAlignment="1" applyProtection="1">
      <alignment horizontal="left"/>
    </xf>
    <xf numFmtId="164" fontId="3" fillId="0" borderId="0" xfId="0" applyFont="1" applyFill="1" applyAlignment="1">
      <alignment horizontal="left" vertical="center"/>
    </xf>
    <xf numFmtId="164" fontId="1" fillId="0" borderId="0" xfId="0" applyFont="1" applyFill="1" applyAlignment="1" applyProtection="1">
      <alignment horizontal="left"/>
    </xf>
    <xf numFmtId="164" fontId="4" fillId="0" borderId="0" xfId="0" applyFont="1" applyFill="1" applyAlignment="1" applyProtection="1">
      <alignment horizontal="left" vertical="center"/>
    </xf>
    <xf numFmtId="164" fontId="3" fillId="0" borderId="0" xfId="0" applyFont="1" applyFill="1"/>
    <xf numFmtId="164" fontId="4" fillId="0" borderId="0" xfId="0" applyFont="1" applyFill="1" applyAlignment="1">
      <alignment horizontal="left"/>
    </xf>
    <xf numFmtId="164" fontId="1" fillId="5" borderId="0" xfId="0" applyFont="1" applyFill="1"/>
    <xf numFmtId="164" fontId="1" fillId="0" borderId="0" xfId="0" applyNumberFormat="1" applyFont="1" applyFill="1" applyBorder="1" applyProtection="1"/>
    <xf numFmtId="165" fontId="1" fillId="0" borderId="0" xfId="0" applyNumberFormat="1" applyFont="1" applyFill="1" applyBorder="1" applyProtection="1"/>
    <xf numFmtId="165" fontId="1" fillId="0" borderId="0" xfId="0" applyNumberFormat="1" applyFont="1" applyBorder="1" applyProtection="1"/>
    <xf numFmtId="165" fontId="1" fillId="0" borderId="0" xfId="0" applyNumberFormat="1" applyFont="1" applyFill="1" applyProtection="1"/>
    <xf numFmtId="164" fontId="1" fillId="0" borderId="0" xfId="0" quotePrefix="1" applyFont="1" applyFill="1" applyBorder="1" applyAlignment="1" applyProtection="1">
      <alignment horizontal="left"/>
    </xf>
    <xf numFmtId="165" fontId="1" fillId="0" borderId="0" xfId="0" applyNumberFormat="1" applyFont="1" applyFill="1" applyBorder="1" applyAlignment="1" applyProtection="1">
      <alignment horizontal="fill"/>
    </xf>
    <xf numFmtId="164" fontId="5" fillId="0" borderId="0" xfId="0" applyFont="1" applyAlignment="1">
      <alignment horizontal="left"/>
    </xf>
    <xf numFmtId="167" fontId="2" fillId="0" borderId="0" xfId="0" applyNumberFormat="1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5" transitionEvaluation="1"/>
  <dimension ref="A1:DK89"/>
  <sheetViews>
    <sheetView showGridLines="0" tabSelected="1" topLeftCell="A5" zoomScaleNormal="100" workbookViewId="0">
      <selection activeCell="D8" sqref="D8"/>
    </sheetView>
  </sheetViews>
  <sheetFormatPr defaultColWidth="5.58203125" defaultRowHeight="11.15" customHeight="1" x14ac:dyDescent="0.2"/>
  <cols>
    <col min="1" max="1" width="5.33203125" style="64" customWidth="1"/>
    <col min="2" max="2" width="7.75" style="64" customWidth="1"/>
    <col min="3" max="3" width="11.33203125" style="80" customWidth="1"/>
    <col min="4" max="4" width="10" style="64" customWidth="1"/>
    <col min="5" max="5" width="8.33203125" style="64" customWidth="1"/>
    <col min="6" max="6" width="11.33203125" style="64" customWidth="1"/>
    <col min="7" max="7" width="7.75" style="64" customWidth="1"/>
    <col min="8" max="8" width="9.75" style="64" customWidth="1"/>
    <col min="9" max="9" width="10.33203125" style="64" customWidth="1"/>
    <col min="10" max="10" width="8.58203125" style="64" customWidth="1"/>
    <col min="11" max="11" width="8.25" style="64" customWidth="1"/>
    <col min="12" max="12" width="8" style="64" customWidth="1"/>
    <col min="13" max="13" width="1.25" style="64" customWidth="1"/>
    <col min="14" max="14" width="5.58203125" style="64" customWidth="1"/>
    <col min="15" max="15" width="9.75" style="64" customWidth="1"/>
    <col min="16" max="16" width="8.75" style="80" customWidth="1"/>
    <col min="17" max="17" width="6.58203125" style="80" customWidth="1"/>
    <col min="18" max="18" width="6.4140625" style="64" customWidth="1"/>
    <col min="19" max="19" width="8.33203125" style="64" customWidth="1"/>
    <col min="20" max="20" width="6.58203125" style="64" customWidth="1"/>
    <col min="21" max="21" width="9.75" style="64" customWidth="1"/>
    <col min="22" max="22" width="8.33203125" style="64" customWidth="1"/>
    <col min="23" max="23" width="5" style="64" customWidth="1"/>
    <col min="24" max="24" width="9.08203125" style="64" customWidth="1"/>
    <col min="25" max="41" width="5.58203125" style="64" customWidth="1"/>
    <col min="42" max="16384" width="5.58203125" style="1"/>
  </cols>
  <sheetData>
    <row r="1" spans="1:41" ht="14.25" hidden="1" customHeight="1" x14ac:dyDescent="0.2">
      <c r="A1" s="1"/>
      <c r="B1" s="2">
        <v>27911</v>
      </c>
      <c r="C1" s="3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4"/>
      <c r="Q1" s="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4.25" hidden="1" customHeight="1" x14ac:dyDescent="0.2">
      <c r="A2" s="1"/>
      <c r="B2" s="5">
        <v>26807</v>
      </c>
      <c r="C2" s="3" t="s">
        <v>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  <c r="Q2" s="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4.25" hidden="1" customHeight="1" x14ac:dyDescent="0.2">
      <c r="A3" s="1"/>
      <c r="B3" s="96">
        <v>6.0133499999999999E-2</v>
      </c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4"/>
      <c r="Q3" s="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4.4" hidden="1" customHeight="1" x14ac:dyDescent="0.2">
      <c r="A4" s="1"/>
      <c r="B4" s="6">
        <v>0</v>
      </c>
      <c r="C4" s="7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4"/>
      <c r="Q4" s="4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9.75" customHeight="1" x14ac:dyDescent="0.2">
      <c r="A5" s="1"/>
      <c r="B5" s="6"/>
      <c r="C5" s="7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4"/>
      <c r="Q5" s="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3.25" customHeight="1" x14ac:dyDescent="0.35">
      <c r="A6" s="8"/>
      <c r="B6" s="95"/>
      <c r="C6" s="9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  <c r="Q6" s="9"/>
      <c r="R6" s="8"/>
      <c r="S6" s="8"/>
      <c r="T6" s="8"/>
      <c r="U6" s="8"/>
      <c r="V6" s="8"/>
      <c r="W6" s="8"/>
      <c r="X6" s="8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1.25" customHeight="1" x14ac:dyDescent="0.2">
      <c r="A7" s="8"/>
      <c r="B7" s="8"/>
      <c r="C7" s="9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  <c r="Q7" s="9"/>
      <c r="R7" s="8"/>
      <c r="S7" s="8"/>
      <c r="T7" s="8"/>
      <c r="U7" s="8"/>
      <c r="V7" s="8"/>
      <c r="W7" s="8"/>
      <c r="X7" s="8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1.25" customHeight="1" x14ac:dyDescent="0.2">
      <c r="A8" s="8"/>
      <c r="B8" s="10"/>
      <c r="C8" s="11"/>
      <c r="D8" s="10"/>
      <c r="F8" s="10"/>
      <c r="G8" s="12"/>
      <c r="H8" s="12"/>
      <c r="I8" s="1"/>
      <c r="J8" s="13"/>
      <c r="K8" s="1"/>
      <c r="L8" s="1"/>
      <c r="M8" s="1"/>
      <c r="N8" s="13"/>
      <c r="O8" s="1"/>
      <c r="P8" s="4"/>
      <c r="Q8" s="4"/>
      <c r="R8" s="13"/>
      <c r="S8" s="1"/>
      <c r="T8" s="1"/>
      <c r="U8" s="1"/>
      <c r="V8" s="1"/>
      <c r="W8" s="1"/>
      <c r="X8" s="14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1.15" customHeight="1" x14ac:dyDescent="0.2">
      <c r="A9" s="8"/>
      <c r="B9" s="10"/>
      <c r="C9" s="11"/>
      <c r="D9" s="10"/>
      <c r="E9" s="12"/>
      <c r="F9" s="10"/>
      <c r="G9" s="12"/>
      <c r="H9" s="12"/>
      <c r="I9" s="1"/>
      <c r="J9" s="13"/>
      <c r="K9" s="1"/>
      <c r="L9" s="1"/>
      <c r="M9" s="1"/>
      <c r="N9" s="13"/>
      <c r="O9" s="1"/>
      <c r="P9" s="4"/>
      <c r="Q9" s="4"/>
      <c r="R9" s="13"/>
      <c r="S9" s="1"/>
      <c r="T9" s="1"/>
      <c r="U9" s="1"/>
      <c r="V9" s="1"/>
      <c r="W9" s="1"/>
      <c r="X9" s="14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4.15" customHeight="1" x14ac:dyDescent="0.2">
      <c r="A10" s="1"/>
      <c r="B10" s="15" t="s">
        <v>4</v>
      </c>
      <c r="C10" s="15" t="s">
        <v>5</v>
      </c>
      <c r="D10" s="16" t="s">
        <v>6</v>
      </c>
      <c r="E10" s="17"/>
      <c r="F10" s="13" t="s">
        <v>7</v>
      </c>
      <c r="G10" s="12"/>
      <c r="H10" s="18"/>
      <c r="I10" s="1"/>
      <c r="J10" s="13" t="s">
        <v>8</v>
      </c>
      <c r="K10" s="1"/>
      <c r="L10" s="1"/>
      <c r="M10" s="19"/>
      <c r="N10" s="1"/>
      <c r="O10" s="15" t="s">
        <v>4</v>
      </c>
      <c r="P10" s="20" t="s">
        <v>5</v>
      </c>
      <c r="Q10" s="21" t="s">
        <v>32</v>
      </c>
      <c r="R10" s="17"/>
      <c r="S10" s="13" t="s">
        <v>7</v>
      </c>
      <c r="T10" s="12"/>
      <c r="U10" s="18"/>
      <c r="V10" s="13" t="s">
        <v>8</v>
      </c>
      <c r="W10" s="1"/>
      <c r="X10" s="22"/>
      <c r="Y10" s="23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14.15" customHeight="1" x14ac:dyDescent="0.2">
      <c r="A11" s="1"/>
      <c r="B11" s="24"/>
      <c r="C11" s="25" t="s">
        <v>9</v>
      </c>
      <c r="D11" s="26"/>
      <c r="E11" s="17"/>
      <c r="F11" s="10" t="s">
        <v>10</v>
      </c>
      <c r="G11" s="12"/>
      <c r="H11" s="23"/>
      <c r="I11" s="1"/>
      <c r="J11" s="1"/>
      <c r="K11" s="1"/>
      <c r="L11" s="1"/>
      <c r="M11" s="19"/>
      <c r="N11" s="1"/>
      <c r="O11" s="15"/>
      <c r="P11" s="27" t="s">
        <v>9</v>
      </c>
      <c r="Q11" s="28"/>
      <c r="R11" s="17"/>
      <c r="S11" s="10" t="s">
        <v>10</v>
      </c>
      <c r="T11" s="12"/>
      <c r="U11" s="23"/>
      <c r="V11" s="1"/>
      <c r="W11" s="1"/>
      <c r="X11" s="22"/>
      <c r="Y11" s="23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4.15" customHeight="1" x14ac:dyDescent="0.2">
      <c r="A12" s="1"/>
      <c r="B12" s="15" t="s">
        <v>11</v>
      </c>
      <c r="C12" s="25" t="s">
        <v>12</v>
      </c>
      <c r="D12" s="16" t="s">
        <v>13</v>
      </c>
      <c r="E12" s="17"/>
      <c r="F12" s="29" t="s">
        <v>14</v>
      </c>
      <c r="G12" s="12"/>
      <c r="H12" s="18"/>
      <c r="I12" s="1"/>
      <c r="J12" s="1"/>
      <c r="K12" s="1"/>
      <c r="L12" s="1"/>
      <c r="M12" s="19"/>
      <c r="N12" s="1"/>
      <c r="O12" s="15" t="s">
        <v>11</v>
      </c>
      <c r="P12" s="27" t="s">
        <v>12</v>
      </c>
      <c r="Q12" s="21" t="s">
        <v>33</v>
      </c>
      <c r="R12" s="17"/>
      <c r="S12" s="30" t="s">
        <v>12</v>
      </c>
      <c r="T12" s="12"/>
      <c r="U12" s="18"/>
      <c r="V12" s="1"/>
      <c r="W12" s="1"/>
      <c r="X12" s="22"/>
      <c r="Y12" s="23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4.15" customHeight="1" x14ac:dyDescent="0.2">
      <c r="A13" s="31" t="s">
        <v>15</v>
      </c>
      <c r="B13" s="15" t="s">
        <v>12</v>
      </c>
      <c r="C13" s="25" t="s">
        <v>16</v>
      </c>
      <c r="D13" s="16" t="s">
        <v>17</v>
      </c>
      <c r="E13" s="17"/>
      <c r="F13" s="32" t="s">
        <v>18</v>
      </c>
      <c r="G13" s="33"/>
      <c r="H13" s="34" t="s">
        <v>19</v>
      </c>
      <c r="I13" s="1"/>
      <c r="J13" s="1"/>
      <c r="K13" s="1"/>
      <c r="L13" s="1"/>
      <c r="M13" s="19"/>
      <c r="N13" s="31" t="s">
        <v>15</v>
      </c>
      <c r="O13" s="15" t="s">
        <v>12</v>
      </c>
      <c r="P13" s="27" t="s">
        <v>16</v>
      </c>
      <c r="Q13" s="21" t="s">
        <v>34</v>
      </c>
      <c r="R13" s="17"/>
      <c r="S13" s="35" t="s">
        <v>35</v>
      </c>
      <c r="T13" s="33"/>
      <c r="U13" s="34" t="s">
        <v>19</v>
      </c>
      <c r="V13" s="1"/>
      <c r="W13" s="1"/>
      <c r="X13" s="22"/>
      <c r="Y13" s="23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4.15" customHeight="1" x14ac:dyDescent="0.2">
      <c r="A14" s="31" t="s">
        <v>20</v>
      </c>
      <c r="B14" s="24"/>
      <c r="C14" s="24"/>
      <c r="D14" s="12"/>
      <c r="E14" s="17"/>
      <c r="F14" s="12"/>
      <c r="G14" s="12"/>
      <c r="H14" s="18"/>
      <c r="I14" s="1"/>
      <c r="J14" s="1"/>
      <c r="K14" s="1"/>
      <c r="L14" s="1"/>
      <c r="M14" s="19"/>
      <c r="N14" s="31" t="s">
        <v>20</v>
      </c>
      <c r="O14" s="24"/>
      <c r="P14" s="18"/>
      <c r="Q14" s="18"/>
      <c r="R14" s="17"/>
      <c r="S14" s="29"/>
      <c r="T14" s="12"/>
      <c r="U14" s="18"/>
      <c r="V14" s="1"/>
      <c r="W14" s="1"/>
      <c r="X14" s="22"/>
      <c r="Y14" s="23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4.15" customHeight="1" x14ac:dyDescent="0.2">
      <c r="A15" s="36"/>
      <c r="B15" s="15" t="s">
        <v>21</v>
      </c>
      <c r="C15" s="15" t="s">
        <v>21</v>
      </c>
      <c r="D15" s="29" t="s">
        <v>21</v>
      </c>
      <c r="E15" s="37" t="s">
        <v>22</v>
      </c>
      <c r="F15" s="29" t="s">
        <v>21</v>
      </c>
      <c r="G15" s="29" t="s">
        <v>22</v>
      </c>
      <c r="H15" s="20" t="s">
        <v>21</v>
      </c>
      <c r="I15" s="14" t="s">
        <v>37</v>
      </c>
      <c r="J15" s="31" t="s">
        <v>22</v>
      </c>
      <c r="K15" s="31" t="s">
        <v>23</v>
      </c>
      <c r="L15" s="31" t="s">
        <v>24</v>
      </c>
      <c r="M15" s="19"/>
      <c r="N15" s="36"/>
      <c r="O15" s="15" t="s">
        <v>21</v>
      </c>
      <c r="P15" s="20" t="s">
        <v>21</v>
      </c>
      <c r="Q15" s="20" t="s">
        <v>21</v>
      </c>
      <c r="R15" s="37" t="s">
        <v>22</v>
      </c>
      <c r="S15" s="29" t="s">
        <v>21</v>
      </c>
      <c r="T15" s="29" t="s">
        <v>22</v>
      </c>
      <c r="U15" s="20" t="s">
        <v>21</v>
      </c>
      <c r="V15" s="31" t="s">
        <v>22</v>
      </c>
      <c r="W15" s="31" t="s">
        <v>23</v>
      </c>
      <c r="X15" s="38" t="s">
        <v>24</v>
      </c>
      <c r="Y15" s="23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0" customHeight="1" x14ac:dyDescent="0.2">
      <c r="A16" s="36"/>
      <c r="B16" s="24"/>
      <c r="C16" s="24"/>
      <c r="D16" s="12"/>
      <c r="E16" s="17"/>
      <c r="F16" s="12"/>
      <c r="G16" s="12"/>
      <c r="H16" s="18"/>
      <c r="I16" s="1"/>
      <c r="J16" s="1"/>
      <c r="K16" s="1"/>
      <c r="L16" s="1"/>
      <c r="M16" s="19"/>
      <c r="N16" s="36"/>
      <c r="O16" s="39"/>
      <c r="P16" s="23"/>
      <c r="Q16" s="23"/>
      <c r="R16" s="22"/>
      <c r="S16" s="1"/>
      <c r="T16" s="1"/>
      <c r="U16" s="23"/>
      <c r="V16" s="1"/>
      <c r="W16" s="1"/>
      <c r="X16" s="22"/>
      <c r="Y16" s="23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4.15" customHeight="1" x14ac:dyDescent="0.2">
      <c r="A17" s="31">
        <v>0</v>
      </c>
      <c r="B17" s="40">
        <f>ROUND($B$1*1.345,0)</f>
        <v>37540</v>
      </c>
      <c r="C17" s="40">
        <f>ROUND($B$1*1.245,0)</f>
        <v>34749</v>
      </c>
      <c r="D17" s="41">
        <f>ROUND($B$1*1.145,0)</f>
        <v>31958</v>
      </c>
      <c r="E17" s="42">
        <f>ROUND($B$1*0.97,0)</f>
        <v>27074</v>
      </c>
      <c r="F17" s="41">
        <f>ROUND($B$1*1.045,0)</f>
        <v>29167</v>
      </c>
      <c r="G17" s="41">
        <f>ROUND($B$1*0.895,0)</f>
        <v>24980</v>
      </c>
      <c r="H17" s="43">
        <f>ROUND($B$1*1,0)</f>
        <v>27911</v>
      </c>
      <c r="I17" s="41">
        <f>ROUND($B$1*1,0)</f>
        <v>27911</v>
      </c>
      <c r="J17" s="41">
        <f>ROUND($B$1*0.885,0)</f>
        <v>24701</v>
      </c>
      <c r="K17" s="41">
        <f>ROUND($B$1*0.635,0)</f>
        <v>17723</v>
      </c>
      <c r="L17" s="41">
        <f>ROUND($B$1*0.535,0)</f>
        <v>14932</v>
      </c>
      <c r="M17" s="44"/>
      <c r="N17" s="41">
        <v>12</v>
      </c>
      <c r="O17" s="40">
        <f>ROUND($B$1*1.825,0)</f>
        <v>50938</v>
      </c>
      <c r="P17" s="43">
        <f>ROUND($B$1*1.605,0)</f>
        <v>44797</v>
      </c>
      <c r="Q17" s="43">
        <f>ROUND($B$1*1.505,0)</f>
        <v>42006</v>
      </c>
      <c r="R17" s="42">
        <f>ROUND($B$1*1.21,0)</f>
        <v>33772</v>
      </c>
      <c r="S17" s="41">
        <f>ROUND($B$1*1.375,0)</f>
        <v>38378</v>
      </c>
      <c r="T17" s="41">
        <f>ROUND($B$1*1.135,0)</f>
        <v>31679</v>
      </c>
      <c r="U17" s="43">
        <f>ROUND($B$1*1.325,0)</f>
        <v>36982</v>
      </c>
      <c r="V17" s="41">
        <f>ROUND($B$1*1.095,0)</f>
        <v>30563</v>
      </c>
      <c r="W17" s="41">
        <f>ROUND($B$1*0.785,0)</f>
        <v>21910</v>
      </c>
      <c r="X17" s="42">
        <f>ROUND($B$1*0.685,0)</f>
        <v>19119</v>
      </c>
      <c r="Y17" s="23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4.15" customHeight="1" x14ac:dyDescent="0.2">
      <c r="A18" s="36"/>
      <c r="B18" s="40">
        <f>(ROUND($B$2*1.345,0))*$B$3</f>
        <v>2168.1133424999998</v>
      </c>
      <c r="C18" s="40">
        <f>(ROUND($B$2*1.245,0))*$B$3</f>
        <v>2006.9555625</v>
      </c>
      <c r="D18" s="41">
        <f>(ROUND($B$2*1.145,0))*$B$3</f>
        <v>1845.7376489999999</v>
      </c>
      <c r="E18" s="42">
        <f>(ROUND($B$2*0.97,0))*$B$3</f>
        <v>1563.6514004999999</v>
      </c>
      <c r="F18" s="41">
        <f>(ROUND($B$2*1.045,0))*$B$3</f>
        <v>1684.5197355</v>
      </c>
      <c r="G18" s="41">
        <f>(ROUND($B$2*0.895,0))*$B$3</f>
        <v>1442.7229319999999</v>
      </c>
      <c r="H18" s="43">
        <f>(ROUND($B$2*1,0))*$B$3</f>
        <v>1611.9987345</v>
      </c>
      <c r="I18" s="41">
        <f>(ROUND($B$2*1,0))*$B$3</f>
        <v>1611.9987345</v>
      </c>
      <c r="J18" s="41">
        <f>(ROUND($B$2*0.885,0))*$B$3</f>
        <v>1426.607154</v>
      </c>
      <c r="K18" s="41">
        <f>(ROUND($B$2*0.635,0))*$B$3</f>
        <v>1023.592437</v>
      </c>
      <c r="L18" s="41">
        <f>(ROUND($B$2*0.535,0))*$B$3</f>
        <v>862.43465700000002</v>
      </c>
      <c r="M18" s="44"/>
      <c r="N18" s="46"/>
      <c r="O18" s="40">
        <f>(ROUND($B$2*1.825,0))*$B$3</f>
        <v>2941.9112205000001</v>
      </c>
      <c r="P18" s="43">
        <f>(ROUND($B$2*1.605,0))*$B$3</f>
        <v>2587.2438375000002</v>
      </c>
      <c r="Q18" s="43">
        <f>(ROUND($B$2*1.505,0))*$B$3</f>
        <v>2426.0860575000002</v>
      </c>
      <c r="R18" s="42">
        <f>(ROUND($B$2*1.21,0))*$B$3</f>
        <v>1950.4902059999999</v>
      </c>
      <c r="S18" s="41">
        <f>(ROUND($B$2*1.375,0))*$B$3</f>
        <v>2216.52081</v>
      </c>
      <c r="T18" s="41">
        <f>(ROUND($B$2*1.135,0))*$B$3</f>
        <v>1829.6218710000001</v>
      </c>
      <c r="U18" s="43">
        <f>(ROUND($B$2*1.325,0))*$B$3</f>
        <v>2135.8817865000001</v>
      </c>
      <c r="V18" s="41">
        <f>(ROUND($B$2*1.095,0))*$B$3</f>
        <v>1765.1587589999999</v>
      </c>
      <c r="W18" s="41">
        <f>(ROUND($B$2*0.785,0))*$B$3</f>
        <v>1265.3892404999999</v>
      </c>
      <c r="X18" s="42">
        <f>(ROUND($B$2*0.685,0))*$B$3</f>
        <v>1104.2314604999999</v>
      </c>
      <c r="Y18" s="23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4.15" customHeight="1" x14ac:dyDescent="0.2">
      <c r="A19" s="36"/>
      <c r="B19" s="40">
        <f t="shared" ref="B19:K19" si="0">ROUND(B17+B18,0)</f>
        <v>39708</v>
      </c>
      <c r="C19" s="40">
        <f t="shared" si="0"/>
        <v>36756</v>
      </c>
      <c r="D19" s="41">
        <f t="shared" si="0"/>
        <v>33804</v>
      </c>
      <c r="E19" s="42">
        <f t="shared" si="0"/>
        <v>28638</v>
      </c>
      <c r="F19" s="41">
        <f t="shared" si="0"/>
        <v>30852</v>
      </c>
      <c r="G19" s="41">
        <f t="shared" si="0"/>
        <v>26423</v>
      </c>
      <c r="H19" s="43">
        <f t="shared" si="0"/>
        <v>29523</v>
      </c>
      <c r="I19" s="41">
        <f t="shared" si="0"/>
        <v>29523</v>
      </c>
      <c r="J19" s="41">
        <f t="shared" si="0"/>
        <v>26128</v>
      </c>
      <c r="K19" s="41">
        <f t="shared" si="0"/>
        <v>18747</v>
      </c>
      <c r="L19" s="41">
        <f>ROUND(L17+L18,0)</f>
        <v>15794</v>
      </c>
      <c r="M19" s="44"/>
      <c r="N19" s="46"/>
      <c r="O19" s="40">
        <f t="shared" ref="O19:U19" si="1">ROUND(O17+O18,0)</f>
        <v>53880</v>
      </c>
      <c r="P19" s="43">
        <f t="shared" si="1"/>
        <v>47384</v>
      </c>
      <c r="Q19" s="43">
        <f t="shared" si="1"/>
        <v>44432</v>
      </c>
      <c r="R19" s="42">
        <f t="shared" si="1"/>
        <v>35722</v>
      </c>
      <c r="S19" s="41">
        <f t="shared" si="1"/>
        <v>40595</v>
      </c>
      <c r="T19" s="41">
        <f t="shared" si="1"/>
        <v>33509</v>
      </c>
      <c r="U19" s="43">
        <f t="shared" si="1"/>
        <v>39118</v>
      </c>
      <c r="V19" s="41">
        <f>ROUND(V17+V18,0)</f>
        <v>32328</v>
      </c>
      <c r="W19" s="41">
        <f>ROUND(W17+W18,0)</f>
        <v>23175</v>
      </c>
      <c r="X19" s="42">
        <f>ROUND(X17+X18,0)</f>
        <v>20223</v>
      </c>
      <c r="Y19" s="23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0" customHeight="1" x14ac:dyDescent="0.2">
      <c r="A20" s="36"/>
      <c r="B20" s="40"/>
      <c r="C20" s="40"/>
      <c r="D20" s="41"/>
      <c r="E20" s="42"/>
      <c r="F20" s="41"/>
      <c r="G20" s="41"/>
      <c r="H20" s="43"/>
      <c r="I20" s="41"/>
      <c r="J20" s="41"/>
      <c r="K20" s="41"/>
      <c r="L20" s="41"/>
      <c r="M20" s="44"/>
      <c r="N20" s="46"/>
      <c r="O20" s="47"/>
      <c r="P20" s="48"/>
      <c r="Q20" s="48"/>
      <c r="R20" s="49"/>
      <c r="S20" s="46"/>
      <c r="T20" s="46"/>
      <c r="U20" s="48"/>
      <c r="V20" s="46"/>
      <c r="W20" s="46"/>
      <c r="X20" s="49"/>
      <c r="Y20" s="23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s="64" customFormat="1" ht="14.15" customHeight="1" x14ac:dyDescent="0.2">
      <c r="A21" s="50">
        <v>1</v>
      </c>
      <c r="B21" s="51">
        <f>ROUND($B$1*1.385,0)</f>
        <v>38657</v>
      </c>
      <c r="C21" s="51">
        <f>ROUND($B$1*1.275,0)</f>
        <v>35587</v>
      </c>
      <c r="D21" s="52">
        <f>ROUND($B$1*1.175,0)</f>
        <v>32795</v>
      </c>
      <c r="E21" s="53">
        <f>ROUND($B$1*0.99,0)</f>
        <v>27632</v>
      </c>
      <c r="F21" s="52">
        <f>ROUND($B$1*1.072,0)</f>
        <v>29921</v>
      </c>
      <c r="G21" s="52">
        <f>ROUND($B$1*0.915,0)</f>
        <v>25539</v>
      </c>
      <c r="H21" s="54">
        <f>ROUND($B$1*1.022,0)</f>
        <v>28525</v>
      </c>
      <c r="I21" s="52">
        <f>ROUND($B$1*1.022,0)</f>
        <v>28525</v>
      </c>
      <c r="J21" s="52">
        <f>ROUND($B$1*0.902,0)</f>
        <v>25176</v>
      </c>
      <c r="K21" s="52">
        <f>ROUND($B$1*0.647,0)</f>
        <v>18058</v>
      </c>
      <c r="L21" s="52">
        <f>ROUND($B$1*0.547,0)</f>
        <v>15267</v>
      </c>
      <c r="M21" s="44"/>
      <c r="N21" s="52">
        <v>13</v>
      </c>
      <c r="O21" s="51">
        <f>ROUND($B$1*1.865,0)</f>
        <v>52054</v>
      </c>
      <c r="P21" s="54">
        <f>ROUND($B$1*1.635,0)</f>
        <v>45634</v>
      </c>
      <c r="Q21" s="54">
        <f>ROUND($B$1*1.535,0)</f>
        <v>42843</v>
      </c>
      <c r="R21" s="53">
        <f>ROUND($B$1*1.23,0)</f>
        <v>34331</v>
      </c>
      <c r="S21" s="52">
        <f>ROUND($B$1*1.402,0)</f>
        <v>39131</v>
      </c>
      <c r="T21" s="52">
        <f>ROUND($B$1*1.155,0)</f>
        <v>32237</v>
      </c>
      <c r="U21" s="54">
        <f>ROUND($B$1*1.352,0)</f>
        <v>37736</v>
      </c>
      <c r="V21" s="52">
        <f>ROUND($B$1*1.112,0)</f>
        <v>31037</v>
      </c>
      <c r="W21" s="52">
        <f>ROUND($B$1*0.797,0)</f>
        <v>22245</v>
      </c>
      <c r="X21" s="53">
        <f>ROUND($B$1*0.697,0)</f>
        <v>19454</v>
      </c>
      <c r="Y21" s="63"/>
    </row>
    <row r="22" spans="1:41" s="64" customFormat="1" ht="14.15" customHeight="1" x14ac:dyDescent="0.2">
      <c r="A22" s="56"/>
      <c r="B22" s="51">
        <f>(ROUND($B$2*1.385,0))*$B$3</f>
        <v>2232.6365879999998</v>
      </c>
      <c r="C22" s="51">
        <f>(ROUND($B$2*1.275,0))*$B$3</f>
        <v>2055.3028964999999</v>
      </c>
      <c r="D22" s="52">
        <f>(ROUND($B$2*1.175,0))*$B$3</f>
        <v>1894.084983</v>
      </c>
      <c r="E22" s="53">
        <f>(ROUND($B$2*0.99,0))*$B$3</f>
        <v>1595.8829565000001</v>
      </c>
      <c r="F22" s="52">
        <f>(ROUND($B$2*1.072,0))*$B$3</f>
        <v>1728.0563895</v>
      </c>
      <c r="G22" s="52">
        <f>(ROUND($B$2*0.915,0))*$B$3</f>
        <v>1474.9544880000001</v>
      </c>
      <c r="H22" s="54">
        <f>(ROUND($B$2*1.022,0))*$B$3</f>
        <v>1647.4774995</v>
      </c>
      <c r="I22" s="52">
        <f>(ROUND($B$2*1.022,0))*$B$3</f>
        <v>1647.4774995</v>
      </c>
      <c r="J22" s="52">
        <f>(ROUND($B$2*0.902,0))*$B$3</f>
        <v>1454.0280299999999</v>
      </c>
      <c r="K22" s="52">
        <f>(ROUND($B$2*0.647,0))*$B$3</f>
        <v>1042.955424</v>
      </c>
      <c r="L22" s="52">
        <f>(ROUND($B$2*0.547,0))*$B$3</f>
        <v>881.73751049999998</v>
      </c>
      <c r="M22" s="44"/>
      <c r="N22" s="57"/>
      <c r="O22" s="51">
        <f>(ROUND($B$2*1.865,0))*$B$3</f>
        <v>3006.3743325</v>
      </c>
      <c r="P22" s="54">
        <f>(ROUND($B$2*1.635,0))*$B$3</f>
        <v>2635.5911715000002</v>
      </c>
      <c r="Q22" s="54">
        <f>(ROUND($B$2*1.535,0))*$B$3</f>
        <v>2474.4333915000002</v>
      </c>
      <c r="R22" s="53">
        <f>(ROUND($B$2*1.23,0))*$B$3</f>
        <v>1982.7818955</v>
      </c>
      <c r="S22" s="52">
        <f>(ROUND($B$2*1.402,0))*$B$3</f>
        <v>2259.9973304999999</v>
      </c>
      <c r="T22" s="52">
        <f>(ROUND($B$2*1.155,0))*$B$3</f>
        <v>1861.853427</v>
      </c>
      <c r="U22" s="54">
        <f>(ROUND($B$2*1.352,0))*$B$3</f>
        <v>2179.4184405000001</v>
      </c>
      <c r="V22" s="52">
        <f>(ROUND($B$2*1.112,0))*$B$3</f>
        <v>1792.5195014999999</v>
      </c>
      <c r="W22" s="52">
        <f>(ROUND($B$2*0.797,0))*$B$3</f>
        <v>1284.7522274999999</v>
      </c>
      <c r="X22" s="53">
        <f>(ROUND($B$2*0.697,0))*$B$3</f>
        <v>1123.534314</v>
      </c>
      <c r="Y22" s="63"/>
    </row>
    <row r="23" spans="1:41" s="64" customFormat="1" ht="14.15" customHeight="1" x14ac:dyDescent="0.2">
      <c r="A23" s="56"/>
      <c r="B23" s="51">
        <f t="shared" ref="B23:K23" si="2">ROUND(B21+B22,0)</f>
        <v>40890</v>
      </c>
      <c r="C23" s="51">
        <f t="shared" si="2"/>
        <v>37642</v>
      </c>
      <c r="D23" s="52">
        <f t="shared" si="2"/>
        <v>34689</v>
      </c>
      <c r="E23" s="53">
        <f t="shared" si="2"/>
        <v>29228</v>
      </c>
      <c r="F23" s="52">
        <f t="shared" si="2"/>
        <v>31649</v>
      </c>
      <c r="G23" s="52">
        <f t="shared" si="2"/>
        <v>27014</v>
      </c>
      <c r="H23" s="54">
        <f t="shared" si="2"/>
        <v>30172</v>
      </c>
      <c r="I23" s="52">
        <f t="shared" si="2"/>
        <v>30172</v>
      </c>
      <c r="J23" s="52">
        <f t="shared" si="2"/>
        <v>26630</v>
      </c>
      <c r="K23" s="52">
        <f t="shared" si="2"/>
        <v>19101</v>
      </c>
      <c r="L23" s="52">
        <f>ROUND(L21+L22,0)</f>
        <v>16149</v>
      </c>
      <c r="M23" s="44"/>
      <c r="N23" s="57"/>
      <c r="O23" s="51">
        <f t="shared" ref="O23:U23" si="3">ROUND(O21+O22,0)</f>
        <v>55060</v>
      </c>
      <c r="P23" s="54">
        <f t="shared" si="3"/>
        <v>48270</v>
      </c>
      <c r="Q23" s="54">
        <f t="shared" si="3"/>
        <v>45317</v>
      </c>
      <c r="R23" s="53">
        <f t="shared" si="3"/>
        <v>36314</v>
      </c>
      <c r="S23" s="52">
        <f t="shared" si="3"/>
        <v>41391</v>
      </c>
      <c r="T23" s="52">
        <f t="shared" si="3"/>
        <v>34099</v>
      </c>
      <c r="U23" s="54">
        <f t="shared" si="3"/>
        <v>39915</v>
      </c>
      <c r="V23" s="52">
        <f>ROUND(V21+V22,0)</f>
        <v>32830</v>
      </c>
      <c r="W23" s="52">
        <f>ROUND(W21+W22,0)</f>
        <v>23530</v>
      </c>
      <c r="X23" s="53">
        <f>ROUND(X21+X22,0)</f>
        <v>20578</v>
      </c>
      <c r="Y23" s="63"/>
    </row>
    <row r="24" spans="1:41" ht="10" customHeight="1" x14ac:dyDescent="0.2">
      <c r="A24" s="36"/>
      <c r="B24" s="40"/>
      <c r="C24" s="47"/>
      <c r="D24" s="46"/>
      <c r="E24" s="49"/>
      <c r="F24" s="46"/>
      <c r="G24" s="46"/>
      <c r="H24" s="48"/>
      <c r="I24" s="46"/>
      <c r="J24" s="46"/>
      <c r="K24" s="46"/>
      <c r="L24" s="46"/>
      <c r="M24" s="44"/>
      <c r="N24" s="46"/>
      <c r="O24" s="47"/>
      <c r="P24" s="48"/>
      <c r="Q24" s="48"/>
      <c r="R24" s="49"/>
      <c r="S24" s="46"/>
      <c r="T24" s="46"/>
      <c r="U24" s="48"/>
      <c r="V24" s="46"/>
      <c r="W24" s="46"/>
      <c r="X24" s="49"/>
      <c r="Y24" s="23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s="64" customFormat="1" ht="14.15" customHeight="1" x14ac:dyDescent="0.2">
      <c r="A25" s="58">
        <v>2</v>
      </c>
      <c r="B25" s="59">
        <f>ROUND($B$1*1.425,0)</f>
        <v>39773</v>
      </c>
      <c r="C25" s="59">
        <f>ROUND($B$1*1.305,0)</f>
        <v>36424</v>
      </c>
      <c r="D25" s="60">
        <f>ROUND($B$1*1.205,0)</f>
        <v>33633</v>
      </c>
      <c r="E25" s="61">
        <f>ROUND($B$1*1.01,0)</f>
        <v>28190</v>
      </c>
      <c r="F25" s="60">
        <f>ROUND($B$1*1.1,0)</f>
        <v>30702</v>
      </c>
      <c r="G25" s="60">
        <f>ROUND($B$1*0.935,0)</f>
        <v>26097</v>
      </c>
      <c r="H25" s="62">
        <f>ROUND($B$1*1.05,0)</f>
        <v>29307</v>
      </c>
      <c r="I25" s="60">
        <f>ROUND($B$1*1.05,0)</f>
        <v>29307</v>
      </c>
      <c r="J25" s="60">
        <f>ROUND($B$1*0.92,0)</f>
        <v>25678</v>
      </c>
      <c r="K25" s="60">
        <f>ROUND($B$1*0.66,0)</f>
        <v>18421</v>
      </c>
      <c r="L25" s="60">
        <f>ROUND($B$1*0.56,0)</f>
        <v>15630</v>
      </c>
      <c r="M25" s="44"/>
      <c r="N25" s="41">
        <v>14</v>
      </c>
      <c r="O25" s="40">
        <f>ROUND($B$1*1.905,0)</f>
        <v>53170</v>
      </c>
      <c r="P25" s="43">
        <f>ROUND($B$1*1.665,0)</f>
        <v>46472</v>
      </c>
      <c r="Q25" s="43">
        <f>ROUND($B$1*1.565,0)</f>
        <v>43681</v>
      </c>
      <c r="R25" s="42">
        <f>ROUND($B$1*1.25,0)</f>
        <v>34889</v>
      </c>
      <c r="S25" s="41">
        <f>ROUND($B$1*1.43,0)</f>
        <v>39913</v>
      </c>
      <c r="T25" s="41">
        <f>ROUND($B$1*1.175,0)</f>
        <v>32795</v>
      </c>
      <c r="U25" s="43">
        <f>ROUND($B$1*1.38,0)</f>
        <v>38517</v>
      </c>
      <c r="V25" s="41">
        <f>ROUND($B$1*1.13,0)</f>
        <v>31539</v>
      </c>
      <c r="W25" s="41">
        <f>ROUND($B$1*0.81,0)</f>
        <v>22608</v>
      </c>
      <c r="X25" s="42">
        <f>ROUND($B$1*0.71,0)</f>
        <v>19817</v>
      </c>
      <c r="Y25" s="63"/>
    </row>
    <row r="26" spans="1:41" s="64" customFormat="1" ht="14.15" customHeight="1" x14ac:dyDescent="0.2">
      <c r="A26" s="65"/>
      <c r="B26" s="59">
        <f>(ROUND($B$2*1.425,0))*$B$3</f>
        <v>2297.0996999999998</v>
      </c>
      <c r="C26" s="59">
        <f>(ROUND($B$2*1.305,0))*$B$3</f>
        <v>2103.6502304999999</v>
      </c>
      <c r="D26" s="60">
        <f>(ROUND($B$2*1.205,0))*$B$3</f>
        <v>1942.432317</v>
      </c>
      <c r="E26" s="61">
        <f>(ROUND($B$2*1.01,0))*$B$3</f>
        <v>1628.1145125</v>
      </c>
      <c r="F26" s="60">
        <f>(ROUND($B$2*1.1,0))*$B$3</f>
        <v>1773.2166480000001</v>
      </c>
      <c r="G26" s="60">
        <f>(ROUND($B$2*0.935,0))*$B$3</f>
        <v>1507.2461774999999</v>
      </c>
      <c r="H26" s="62">
        <f>(ROUND($B$2*1.05,0))*$B$3</f>
        <v>1692.5776245</v>
      </c>
      <c r="I26" s="60">
        <f>(ROUND($B$2*1.05,0))*$B$3</f>
        <v>1692.5776245</v>
      </c>
      <c r="J26" s="60">
        <f>(ROUND($B$2*0.92,0))*$B$3</f>
        <v>1483.012377</v>
      </c>
      <c r="K26" s="60">
        <f>(ROUND($B$2*0.66,0))*$B$3</f>
        <v>1063.9420155</v>
      </c>
      <c r="L26" s="60">
        <f>(ROUND($B$2*0.56,0))*$B$3</f>
        <v>902.72410200000002</v>
      </c>
      <c r="M26" s="44"/>
      <c r="N26" s="46"/>
      <c r="O26" s="40">
        <f>(ROUND($B$2*1.905,0))*$B$3</f>
        <v>3070.8374444999999</v>
      </c>
      <c r="P26" s="43">
        <f>(ROUND($B$2*1.665,0))*$B$3</f>
        <v>2683.9986389999999</v>
      </c>
      <c r="Q26" s="43">
        <f>(ROUND($B$2*1.565,0))*$B$3</f>
        <v>2522.7807254999998</v>
      </c>
      <c r="R26" s="42">
        <f>(ROUND($B$2*1.25,0))*$B$3</f>
        <v>2015.0134515</v>
      </c>
      <c r="S26" s="41">
        <f>(ROUND($B$2*1.43,0))*$B$3</f>
        <v>2305.1575889999999</v>
      </c>
      <c r="T26" s="41">
        <f>(ROUND($B$2*1.175,0))*$B$3</f>
        <v>1894.084983</v>
      </c>
      <c r="U26" s="43">
        <f>(ROUND($B$2*1.38,0))*$B$3</f>
        <v>2224.5786990000001</v>
      </c>
      <c r="V26" s="41">
        <f>(ROUND($B$2*1.13,0))*$B$3</f>
        <v>1821.5639819999999</v>
      </c>
      <c r="W26" s="41">
        <f>(ROUND($B$2*0.81,0))*$B$3</f>
        <v>1305.7388189999999</v>
      </c>
      <c r="X26" s="42">
        <f>(ROUND($B$2*0.71,0))*$B$3</f>
        <v>1144.5209055</v>
      </c>
      <c r="Y26" s="63"/>
    </row>
    <row r="27" spans="1:41" s="64" customFormat="1" ht="14.15" customHeight="1" x14ac:dyDescent="0.2">
      <c r="A27" s="65"/>
      <c r="B27" s="59">
        <f t="shared" ref="B27:K27" si="4">ROUND(B25+B26,0)</f>
        <v>42070</v>
      </c>
      <c r="C27" s="59">
        <f t="shared" si="4"/>
        <v>38528</v>
      </c>
      <c r="D27" s="60">
        <f t="shared" si="4"/>
        <v>35575</v>
      </c>
      <c r="E27" s="61">
        <f t="shared" si="4"/>
        <v>29818</v>
      </c>
      <c r="F27" s="60">
        <f t="shared" si="4"/>
        <v>32475</v>
      </c>
      <c r="G27" s="60">
        <f t="shared" si="4"/>
        <v>27604</v>
      </c>
      <c r="H27" s="62">
        <f t="shared" si="4"/>
        <v>31000</v>
      </c>
      <c r="I27" s="60">
        <f t="shared" si="4"/>
        <v>31000</v>
      </c>
      <c r="J27" s="60">
        <f t="shared" si="4"/>
        <v>27161</v>
      </c>
      <c r="K27" s="60">
        <f t="shared" si="4"/>
        <v>19485</v>
      </c>
      <c r="L27" s="60">
        <f>ROUND(L25+L26,0)</f>
        <v>16533</v>
      </c>
      <c r="M27" s="44"/>
      <c r="N27" s="46"/>
      <c r="O27" s="40">
        <f t="shared" ref="O27:U27" si="5">ROUND(O25+O26,0)</f>
        <v>56241</v>
      </c>
      <c r="P27" s="43">
        <f t="shared" si="5"/>
        <v>49156</v>
      </c>
      <c r="Q27" s="43">
        <f t="shared" si="5"/>
        <v>46204</v>
      </c>
      <c r="R27" s="42">
        <f t="shared" si="5"/>
        <v>36904</v>
      </c>
      <c r="S27" s="41">
        <f t="shared" si="5"/>
        <v>42218</v>
      </c>
      <c r="T27" s="41">
        <f t="shared" si="5"/>
        <v>34689</v>
      </c>
      <c r="U27" s="43">
        <f t="shared" si="5"/>
        <v>40742</v>
      </c>
      <c r="V27" s="41">
        <f>ROUND(V25+V26,0)</f>
        <v>33361</v>
      </c>
      <c r="W27" s="41">
        <f>ROUND(W25+W26,0)</f>
        <v>23914</v>
      </c>
      <c r="X27" s="42">
        <f>ROUND(X25+X26,0)</f>
        <v>20962</v>
      </c>
      <c r="Y27" s="63"/>
    </row>
    <row r="28" spans="1:41" ht="10" customHeight="1" x14ac:dyDescent="0.2">
      <c r="A28" s="36"/>
      <c r="B28" s="40"/>
      <c r="C28" s="40"/>
      <c r="D28" s="41"/>
      <c r="E28" s="42"/>
      <c r="F28" s="41"/>
      <c r="G28" s="41"/>
      <c r="H28" s="43"/>
      <c r="I28" s="41"/>
      <c r="J28" s="41"/>
      <c r="K28" s="41"/>
      <c r="L28" s="41"/>
      <c r="M28" s="44"/>
      <c r="N28" s="46"/>
      <c r="O28" s="47"/>
      <c r="P28" s="48"/>
      <c r="Q28" s="48"/>
      <c r="R28" s="49"/>
      <c r="S28" s="46"/>
      <c r="T28" s="46"/>
      <c r="U28" s="48"/>
      <c r="V28" s="46"/>
      <c r="W28" s="46"/>
      <c r="X28" s="49"/>
      <c r="Y28" s="23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64" customFormat="1" ht="14.15" customHeight="1" x14ac:dyDescent="0.2">
      <c r="A29" s="50">
        <v>3</v>
      </c>
      <c r="B29" s="51">
        <f>ROUND($B$1*1.465,0)</f>
        <v>40890</v>
      </c>
      <c r="C29" s="51">
        <f>ROUND($B$1*1.335,0)</f>
        <v>37261</v>
      </c>
      <c r="D29" s="52">
        <f>ROUND($B$1*1.235,0)</f>
        <v>34470</v>
      </c>
      <c r="E29" s="53">
        <f>ROUND($B$1*1.03,0)</f>
        <v>28748</v>
      </c>
      <c r="F29" s="52">
        <f>ROUND($B$1*1.127,0)</f>
        <v>31456</v>
      </c>
      <c r="G29" s="52">
        <f>ROUND($B$1*0.955,0)</f>
        <v>26655</v>
      </c>
      <c r="H29" s="54">
        <f>ROUND($B$1*1.077,0)</f>
        <v>30060</v>
      </c>
      <c r="I29" s="52">
        <f>ROUND($B$1*1.077,0)</f>
        <v>30060</v>
      </c>
      <c r="J29" s="52">
        <f>ROUND($B$1*0.937,0)</f>
        <v>26153</v>
      </c>
      <c r="K29" s="52">
        <f>ROUND($B$1*0.672,0)</f>
        <v>18756</v>
      </c>
      <c r="L29" s="52">
        <f>ROUND($B$1*0.572,0)</f>
        <v>15965</v>
      </c>
      <c r="M29" s="44"/>
      <c r="N29" s="52">
        <v>15</v>
      </c>
      <c r="O29" s="51">
        <f>ROUND($B$1*1.945,0)</f>
        <v>54287</v>
      </c>
      <c r="P29" s="54">
        <f>ROUND($B$1*1.695,0)</f>
        <v>47309</v>
      </c>
      <c r="Q29" s="54">
        <f>ROUND($B$1*1.595,0)</f>
        <v>44518</v>
      </c>
      <c r="R29" s="53">
        <f>ROUND($B$1*1.27,0)</f>
        <v>35447</v>
      </c>
      <c r="S29" s="52">
        <f>ROUND($B$1*1.457,0)</f>
        <v>40666</v>
      </c>
      <c r="T29" s="52">
        <f>ROUND($B$1*1.195,0)</f>
        <v>33354</v>
      </c>
      <c r="U29" s="54">
        <f>ROUND($B$1*1.407,0)</f>
        <v>39271</v>
      </c>
      <c r="V29" s="52">
        <f>ROUND($B$1*1.147,0)</f>
        <v>32014</v>
      </c>
      <c r="W29" s="52">
        <f>ROUND($B$1*0.822,0)</f>
        <v>22943</v>
      </c>
      <c r="X29" s="53">
        <f>ROUND($B$1*0.722,0)</f>
        <v>20152</v>
      </c>
      <c r="Y29" s="63"/>
    </row>
    <row r="30" spans="1:41" s="64" customFormat="1" ht="14.15" customHeight="1" x14ac:dyDescent="0.2">
      <c r="A30" s="56"/>
      <c r="B30" s="51">
        <f>(ROUND($B$2*1.465,0))*$B$3</f>
        <v>2361.5628120000001</v>
      </c>
      <c r="C30" s="51">
        <f>(ROUND($B$2*1.335,0))*$B$3</f>
        <v>2151.9975645</v>
      </c>
      <c r="D30" s="52">
        <f>(ROUND($B$2*1.235,0))*$B$3</f>
        <v>1990.8397845</v>
      </c>
      <c r="E30" s="53">
        <f>(ROUND($B$2*1.03,0))*$B$3</f>
        <v>1660.3460685</v>
      </c>
      <c r="F30" s="52">
        <f>(ROUND($B$2*1.127,0))*$B$3</f>
        <v>1816.6931685</v>
      </c>
      <c r="G30" s="52">
        <f>(ROUND($B$2*0.955,0))*$B$3</f>
        <v>1539.4777334999999</v>
      </c>
      <c r="H30" s="54">
        <f>(ROUND($B$2*1.077,0))*$B$3</f>
        <v>1736.1142785</v>
      </c>
      <c r="I30" s="52">
        <f>(ROUND($B$2*1.077,0))*$B$3</f>
        <v>1736.1142785</v>
      </c>
      <c r="J30" s="52">
        <f>(ROUND($B$2*0.937,0))*$B$3</f>
        <v>1510.4332529999999</v>
      </c>
      <c r="K30" s="52">
        <f>(ROUND($B$2*0.672,0))*$B$3</f>
        <v>1083.2448689999999</v>
      </c>
      <c r="L30" s="52">
        <f>(ROUND($B$2*0.572,0))*$B$3</f>
        <v>922.08708899999999</v>
      </c>
      <c r="M30" s="44"/>
      <c r="N30" s="57"/>
      <c r="O30" s="51">
        <f>(ROUND($B$2*1.945,0))*$B$3</f>
        <v>3135.36069</v>
      </c>
      <c r="P30" s="54">
        <f>(ROUND($B$2*1.695,0))*$B$3</f>
        <v>2732.345973</v>
      </c>
      <c r="Q30" s="54">
        <f>(ROUND($B$2*1.595,0))*$B$3</f>
        <v>2571.1280594999998</v>
      </c>
      <c r="R30" s="53">
        <f>(ROUND($B$2*1.27,0))*$B$3</f>
        <v>2047.2450074999999</v>
      </c>
      <c r="S30" s="52">
        <f>(ROUND($B$2*1.457,0))*$B$3</f>
        <v>2348.6942429999999</v>
      </c>
      <c r="T30" s="52">
        <f>(ROUND($B$2*1.195,0))*$B$3</f>
        <v>1926.3165389999999</v>
      </c>
      <c r="U30" s="54">
        <f>(ROUND($B$2*1.407,0))*$B$3</f>
        <v>2268.0552195</v>
      </c>
      <c r="V30" s="52">
        <f>(ROUND($B$2*1.147,0))*$B$3</f>
        <v>1848.984858</v>
      </c>
      <c r="W30" s="52">
        <f>(ROUND($B$2*0.822,0))*$B$3</f>
        <v>1325.0416725</v>
      </c>
      <c r="X30" s="53">
        <f>(ROUND($B$2*0.722,0))*$B$3</f>
        <v>1163.8838925</v>
      </c>
      <c r="Y30" s="63"/>
    </row>
    <row r="31" spans="1:41" s="64" customFormat="1" ht="14.15" customHeight="1" x14ac:dyDescent="0.2">
      <c r="A31" s="56"/>
      <c r="B31" s="51">
        <f t="shared" ref="B31:K31" si="6">ROUND(B29+B30,0)</f>
        <v>43252</v>
      </c>
      <c r="C31" s="51">
        <f t="shared" si="6"/>
        <v>39413</v>
      </c>
      <c r="D31" s="52">
        <f t="shared" si="6"/>
        <v>36461</v>
      </c>
      <c r="E31" s="53">
        <f t="shared" si="6"/>
        <v>30408</v>
      </c>
      <c r="F31" s="52">
        <f t="shared" si="6"/>
        <v>33273</v>
      </c>
      <c r="G31" s="52">
        <f t="shared" si="6"/>
        <v>28194</v>
      </c>
      <c r="H31" s="54">
        <f t="shared" si="6"/>
        <v>31796</v>
      </c>
      <c r="I31" s="52">
        <f t="shared" si="6"/>
        <v>31796</v>
      </c>
      <c r="J31" s="52">
        <f t="shared" si="6"/>
        <v>27663</v>
      </c>
      <c r="K31" s="52">
        <f t="shared" si="6"/>
        <v>19839</v>
      </c>
      <c r="L31" s="52">
        <f>ROUND(L29+L30,0)</f>
        <v>16887</v>
      </c>
      <c r="M31" s="44"/>
      <c r="N31" s="57"/>
      <c r="O31" s="51">
        <f t="shared" ref="O31:U31" si="7">ROUND(O29+O30,0)</f>
        <v>57422</v>
      </c>
      <c r="P31" s="54">
        <f t="shared" si="7"/>
        <v>50041</v>
      </c>
      <c r="Q31" s="54">
        <f t="shared" si="7"/>
        <v>47089</v>
      </c>
      <c r="R31" s="53">
        <f t="shared" si="7"/>
        <v>37494</v>
      </c>
      <c r="S31" s="52">
        <f t="shared" si="7"/>
        <v>43015</v>
      </c>
      <c r="T31" s="52">
        <f t="shared" si="7"/>
        <v>35280</v>
      </c>
      <c r="U31" s="54">
        <f t="shared" si="7"/>
        <v>41539</v>
      </c>
      <c r="V31" s="52">
        <f>ROUND(V29+V30,0)</f>
        <v>33863</v>
      </c>
      <c r="W31" s="52">
        <f>ROUND(W29+W30,0)</f>
        <v>24268</v>
      </c>
      <c r="X31" s="53">
        <f>ROUND(X29+X30,0)</f>
        <v>21316</v>
      </c>
      <c r="Y31" s="63"/>
    </row>
    <row r="32" spans="1:41" s="64" customFormat="1" ht="10" customHeight="1" x14ac:dyDescent="0.2">
      <c r="A32" s="36"/>
      <c r="B32" s="40"/>
      <c r="C32" s="40"/>
      <c r="D32" s="41"/>
      <c r="E32" s="42"/>
      <c r="F32" s="41"/>
      <c r="G32" s="41"/>
      <c r="H32" s="43"/>
      <c r="I32" s="41"/>
      <c r="J32" s="41"/>
      <c r="K32" s="41"/>
      <c r="L32" s="41"/>
      <c r="M32" s="44"/>
      <c r="N32" s="46"/>
      <c r="O32" s="47"/>
      <c r="P32" s="48"/>
      <c r="Q32" s="48"/>
      <c r="R32" s="49"/>
      <c r="S32" s="46"/>
      <c r="T32" s="46"/>
      <c r="U32" s="48"/>
      <c r="V32" s="46"/>
      <c r="W32" s="46"/>
      <c r="X32" s="49"/>
      <c r="Y32" s="63"/>
    </row>
    <row r="33" spans="1:115" s="64" customFormat="1" ht="14.15" customHeight="1" x14ac:dyDescent="0.2">
      <c r="A33" s="31">
        <v>4</v>
      </c>
      <c r="B33" s="40">
        <f>ROUND($B$1*1.505,0)</f>
        <v>42006</v>
      </c>
      <c r="C33" s="40">
        <f>ROUND($B$1*1.365,0)</f>
        <v>38099</v>
      </c>
      <c r="D33" s="41">
        <f>ROUND($B$1*1.265,0)</f>
        <v>35307</v>
      </c>
      <c r="E33" s="42">
        <f>ROUND($B$1*1.05,0)</f>
        <v>29307</v>
      </c>
      <c r="F33" s="41">
        <f>ROUND($B$1*1.155,0)</f>
        <v>32237</v>
      </c>
      <c r="G33" s="41">
        <f>ROUND($B$1*0.975,0)</f>
        <v>27213</v>
      </c>
      <c r="H33" s="43">
        <f>ROUND($B$1*1.105,0)</f>
        <v>30842</v>
      </c>
      <c r="I33" s="41">
        <f>ROUND($B$1*1.105,0)</f>
        <v>30842</v>
      </c>
      <c r="J33" s="41">
        <f>ROUND($B$1*0.955,0)</f>
        <v>26655</v>
      </c>
      <c r="K33" s="41">
        <f>ROUND($B$1*0.685,0)</f>
        <v>19119</v>
      </c>
      <c r="L33" s="41">
        <f>ROUND($B$1*0.585,0)</f>
        <v>16328</v>
      </c>
      <c r="M33" s="44"/>
      <c r="N33" s="41">
        <v>16</v>
      </c>
      <c r="O33" s="40">
        <f>ROUND($B$1*1.985,0)</f>
        <v>55403</v>
      </c>
      <c r="P33" s="43">
        <f>ROUND($B$1*1.725,0)</f>
        <v>48146</v>
      </c>
      <c r="Q33" s="43">
        <f>ROUND($B$1*1.625,0)</f>
        <v>45355</v>
      </c>
      <c r="R33" s="42">
        <f>ROUND($B$1*1.29,0)</f>
        <v>36005</v>
      </c>
      <c r="S33" s="41">
        <f>ROUND($B$1*1.485,0)</f>
        <v>41448</v>
      </c>
      <c r="T33" s="41">
        <f>ROUND($B$1*1.215,0)</f>
        <v>33912</v>
      </c>
      <c r="U33" s="43">
        <f>ROUND($B$1*1.435,0)</f>
        <v>40052</v>
      </c>
      <c r="V33" s="41">
        <f>ROUND($B$1*1.165,0)</f>
        <v>32516</v>
      </c>
      <c r="W33" s="41">
        <f>ROUND($B$1*0.835,0)</f>
        <v>23306</v>
      </c>
      <c r="X33" s="42">
        <f>ROUND($B$1*0.735,0)</f>
        <v>20515</v>
      </c>
      <c r="Y33" s="63"/>
    </row>
    <row r="34" spans="1:115" s="64" customFormat="1" ht="14.15" customHeight="1" x14ac:dyDescent="0.2">
      <c r="A34" s="36"/>
      <c r="B34" s="40">
        <f>(ROUND($B$2*1.505,0))*$B$3</f>
        <v>2426.0860575000002</v>
      </c>
      <c r="C34" s="40">
        <f>(ROUND($B$2*1.365,0))*$B$3</f>
        <v>2200.4050320000001</v>
      </c>
      <c r="D34" s="41">
        <f>(ROUND($B$2*1.265,0))*$B$3</f>
        <v>2039.1871185</v>
      </c>
      <c r="E34" s="42">
        <f>(ROUND($B$2*1.05,0))*$B$3</f>
        <v>1692.5776245</v>
      </c>
      <c r="F34" s="41">
        <f>(ROUND($B$2*1.155,0))*$B$3</f>
        <v>1861.853427</v>
      </c>
      <c r="G34" s="41">
        <f>(ROUND($B$2*0.975,0))*$B$3</f>
        <v>1571.7092895000001</v>
      </c>
      <c r="H34" s="43">
        <f>(ROUND($B$2*1.105,0))*$B$3</f>
        <v>1781.274537</v>
      </c>
      <c r="I34" s="41">
        <f>(ROUND($B$2*1.105,0))*$B$3</f>
        <v>1781.274537</v>
      </c>
      <c r="J34" s="41">
        <f>(ROUND($B$2*0.955,0))*$B$3</f>
        <v>1539.4777334999999</v>
      </c>
      <c r="K34" s="41">
        <f>(ROUND($B$2*0.685,0))*$B$3</f>
        <v>1104.2314604999999</v>
      </c>
      <c r="L34" s="41">
        <f>(ROUND($B$2*0.585,0))*$B$3</f>
        <v>943.01354700000002</v>
      </c>
      <c r="M34" s="44"/>
      <c r="N34" s="46"/>
      <c r="O34" s="40">
        <f>(ROUND($B$2*1.985,0))*$B$3</f>
        <v>3199.8238019999999</v>
      </c>
      <c r="P34" s="43">
        <f>(ROUND($B$2*1.725,0))*$B$3</f>
        <v>2780.693307</v>
      </c>
      <c r="Q34" s="43">
        <f>(ROUND($B$2*1.625,0))*$B$3</f>
        <v>2619.4753934999999</v>
      </c>
      <c r="R34" s="42">
        <f>(ROUND($B$2*1.29,0))*$B$3</f>
        <v>2079.4765634999999</v>
      </c>
      <c r="S34" s="41">
        <f>(ROUND($B$2*1.485,0))*$B$3</f>
        <v>2393.7943679999998</v>
      </c>
      <c r="T34" s="41">
        <f>(ROUND($B$2*1.215,0))*$B$3</f>
        <v>1958.6082285</v>
      </c>
      <c r="U34" s="43">
        <f>(ROUND($B$2*1.435,0))*$B$3</f>
        <v>2313.2154780000001</v>
      </c>
      <c r="V34" s="41">
        <f>(ROUND($B$2*1.165,0))*$B$3</f>
        <v>1877.9692049999999</v>
      </c>
      <c r="W34" s="41">
        <f>(ROUND($B$2*0.835,0))*$B$3</f>
        <v>1346.028264</v>
      </c>
      <c r="X34" s="42">
        <f>(ROUND($B$2*0.735,0))*$B$3</f>
        <v>1184.8103504999999</v>
      </c>
      <c r="Y34" s="63"/>
    </row>
    <row r="35" spans="1:115" s="64" customFormat="1" ht="14.15" customHeight="1" x14ac:dyDescent="0.2">
      <c r="A35" s="36"/>
      <c r="B35" s="40">
        <f t="shared" ref="B35:K35" si="8">ROUND(B33+B34,0)</f>
        <v>44432</v>
      </c>
      <c r="C35" s="40">
        <f t="shared" si="8"/>
        <v>40299</v>
      </c>
      <c r="D35" s="41">
        <f t="shared" si="8"/>
        <v>37346</v>
      </c>
      <c r="E35" s="42">
        <f t="shared" si="8"/>
        <v>31000</v>
      </c>
      <c r="F35" s="41">
        <f t="shared" si="8"/>
        <v>34099</v>
      </c>
      <c r="G35" s="41">
        <f t="shared" si="8"/>
        <v>28785</v>
      </c>
      <c r="H35" s="43">
        <f t="shared" si="8"/>
        <v>32623</v>
      </c>
      <c r="I35" s="41">
        <f t="shared" si="8"/>
        <v>32623</v>
      </c>
      <c r="J35" s="41">
        <f t="shared" si="8"/>
        <v>28194</v>
      </c>
      <c r="K35" s="41">
        <f t="shared" si="8"/>
        <v>20223</v>
      </c>
      <c r="L35" s="41">
        <f>ROUND(L33+L34,0)</f>
        <v>17271</v>
      </c>
      <c r="M35" s="44"/>
      <c r="N35" s="46"/>
      <c r="O35" s="40">
        <f t="shared" ref="O35:U35" si="9">ROUND(O33+O34,0)</f>
        <v>58603</v>
      </c>
      <c r="P35" s="43">
        <f t="shared" si="9"/>
        <v>50927</v>
      </c>
      <c r="Q35" s="43">
        <f t="shared" si="9"/>
        <v>47974</v>
      </c>
      <c r="R35" s="42">
        <f t="shared" si="9"/>
        <v>38084</v>
      </c>
      <c r="S35" s="41">
        <f t="shared" si="9"/>
        <v>43842</v>
      </c>
      <c r="T35" s="41">
        <f t="shared" si="9"/>
        <v>35871</v>
      </c>
      <c r="U35" s="43">
        <f t="shared" si="9"/>
        <v>42365</v>
      </c>
      <c r="V35" s="41">
        <f>ROUND(V33+V34,0)</f>
        <v>34394</v>
      </c>
      <c r="W35" s="41">
        <f>ROUND(W33+W34,0)</f>
        <v>24652</v>
      </c>
      <c r="X35" s="42">
        <f>ROUND(X33+X34,0)</f>
        <v>21700</v>
      </c>
      <c r="Y35" s="63"/>
    </row>
    <row r="36" spans="1:115" s="64" customFormat="1" ht="10" customHeight="1" x14ac:dyDescent="0.2">
      <c r="A36" s="36"/>
      <c r="B36" s="40"/>
      <c r="C36" s="40"/>
      <c r="D36" s="41"/>
      <c r="E36" s="42"/>
      <c r="F36" s="41"/>
      <c r="G36" s="41"/>
      <c r="H36" s="43"/>
      <c r="I36" s="41"/>
      <c r="J36" s="41"/>
      <c r="K36" s="41"/>
      <c r="L36" s="41"/>
      <c r="M36" s="44"/>
      <c r="N36" s="46"/>
      <c r="O36" s="47"/>
      <c r="P36" s="48"/>
      <c r="Q36" s="48"/>
      <c r="R36" s="49"/>
      <c r="S36" s="46"/>
      <c r="T36" s="46"/>
      <c r="U36" s="48"/>
      <c r="V36" s="46"/>
      <c r="W36" s="46"/>
      <c r="X36" s="49"/>
      <c r="Y36" s="63"/>
    </row>
    <row r="37" spans="1:115" s="64" customFormat="1" ht="14.15" customHeight="1" x14ac:dyDescent="0.2">
      <c r="A37" s="50">
        <v>5</v>
      </c>
      <c r="B37" s="51">
        <f>ROUND($B$1*1.545,0)</f>
        <v>43122</v>
      </c>
      <c r="C37" s="51">
        <f>ROUND($B$1*1.395,0)</f>
        <v>38936</v>
      </c>
      <c r="D37" s="52">
        <f>ROUND($B$1*1.295,0)</f>
        <v>36145</v>
      </c>
      <c r="E37" s="53">
        <f>ROUND($B$1*1.07,0)</f>
        <v>29865</v>
      </c>
      <c r="F37" s="52">
        <f>ROUND($B$1*1.182,0)</f>
        <v>32991</v>
      </c>
      <c r="G37" s="52">
        <f>ROUND($B$1*0.995,0)</f>
        <v>27771</v>
      </c>
      <c r="H37" s="54">
        <f>ROUND($B$1*1.132,0)</f>
        <v>31595</v>
      </c>
      <c r="I37" s="57"/>
      <c r="J37" s="52">
        <f>ROUND($B$1*0.972,0)</f>
        <v>27129</v>
      </c>
      <c r="K37" s="52">
        <f>ROUND($B$1*0.697,0)</f>
        <v>19454</v>
      </c>
      <c r="L37" s="52">
        <f>ROUND($B$1*0.597,0)</f>
        <v>16663</v>
      </c>
      <c r="M37" s="44"/>
      <c r="N37" s="52">
        <v>17</v>
      </c>
      <c r="O37" s="51">
        <f>ROUND($B$1*2.025,0)</f>
        <v>56520</v>
      </c>
      <c r="P37" s="54">
        <f>ROUND($B$1*1.755,0)</f>
        <v>48984</v>
      </c>
      <c r="Q37" s="54">
        <f>ROUND($B$1*1.655,0)</f>
        <v>46193</v>
      </c>
      <c r="R37" s="53">
        <f>ROUND($B$1*1.31,0)</f>
        <v>36563</v>
      </c>
      <c r="S37" s="52">
        <f>ROUND($B$1*1.512,0)</f>
        <v>42201</v>
      </c>
      <c r="T37" s="52">
        <f>ROUND($B$1*1.235,0)</f>
        <v>34470</v>
      </c>
      <c r="U37" s="54">
        <f>ROUND($B$1*1.462,0)</f>
        <v>40806</v>
      </c>
      <c r="V37" s="52">
        <f>ROUND($B$1*1.182,0)</f>
        <v>32991</v>
      </c>
      <c r="W37" s="52">
        <f>ROUND($B$1*0.847,0)</f>
        <v>23641</v>
      </c>
      <c r="X37" s="53">
        <f>ROUND($B$1*0.747,0)</f>
        <v>20850</v>
      </c>
      <c r="Y37" s="63"/>
    </row>
    <row r="38" spans="1:115" s="64" customFormat="1" ht="14.15" customHeight="1" x14ac:dyDescent="0.2">
      <c r="A38" s="56"/>
      <c r="B38" s="51">
        <f>(ROUND($B$2*1.545,0))*$B$3</f>
        <v>2490.5491695000001</v>
      </c>
      <c r="C38" s="51">
        <f>(ROUND($B$2*1.395,0))*$B$3</f>
        <v>2248.7523660000002</v>
      </c>
      <c r="D38" s="52">
        <f>(ROUND($B$2*1.295,0))*$B$3</f>
        <v>2087.5344525</v>
      </c>
      <c r="E38" s="53">
        <f>(ROUND($B$2*1.07,0))*$B$3</f>
        <v>1724.8091804999999</v>
      </c>
      <c r="F38" s="52">
        <f>(ROUND($B$2*1.182,0))*$B$3</f>
        <v>1905.390081</v>
      </c>
      <c r="G38" s="52">
        <f>(ROUND($B$2*0.995,0))*$B$3</f>
        <v>1603.9408455</v>
      </c>
      <c r="H38" s="54">
        <f>(ROUND($B$2*1.132,0))*$B$3</f>
        <v>1824.811191</v>
      </c>
      <c r="I38" s="57"/>
      <c r="J38" s="52">
        <f>(ROUND($B$2*0.972,0))*$B$3</f>
        <v>1566.8384759999999</v>
      </c>
      <c r="K38" s="52">
        <f>(ROUND($B$2*0.697,0))*$B$3</f>
        <v>1123.534314</v>
      </c>
      <c r="L38" s="52">
        <f>(ROUND($B$2*0.597,0))*$B$3</f>
        <v>962.37653399999999</v>
      </c>
      <c r="M38" s="44"/>
      <c r="N38" s="52" t="s">
        <v>31</v>
      </c>
      <c r="O38" s="51">
        <f>(ROUND($B$2*2.025,0))*$B$3</f>
        <v>3264.2869139999998</v>
      </c>
      <c r="P38" s="54">
        <f>(ROUND($B$2*1.755,0))*$B$3</f>
        <v>2829.0406410000001</v>
      </c>
      <c r="Q38" s="54">
        <f>(ROUND($B$2*1.655,0))*$B$3</f>
        <v>2667.882861</v>
      </c>
      <c r="R38" s="53">
        <f>(ROUND($B$2*1.31,0))*$B$3</f>
        <v>2111.7081195000001</v>
      </c>
      <c r="S38" s="52">
        <f>(ROUND($B$2*1.512,0))*$B$3</f>
        <v>2437.3310219999998</v>
      </c>
      <c r="T38" s="52">
        <f>(ROUND($B$2*1.235,0))*$B$3</f>
        <v>1990.8397845</v>
      </c>
      <c r="U38" s="54">
        <f>(ROUND($B$2*1.462,0))*$B$3</f>
        <v>2356.7521320000001</v>
      </c>
      <c r="V38" s="52">
        <f>(ROUND($B$2*1.182,0))*$B$3</f>
        <v>1905.390081</v>
      </c>
      <c r="W38" s="52">
        <f>(ROUND($B$2*0.847,0))*$B$3</f>
        <v>1365.391251</v>
      </c>
      <c r="X38" s="53">
        <f>(ROUND($B$2*0.747,0))*$B$3</f>
        <v>1204.1733374999999</v>
      </c>
      <c r="Y38" s="63"/>
    </row>
    <row r="39" spans="1:115" s="64" customFormat="1" ht="14.15" customHeight="1" x14ac:dyDescent="0.2">
      <c r="A39" s="56"/>
      <c r="B39" s="51">
        <f t="shared" ref="B39:H39" si="10">ROUND(B37+B38,0)</f>
        <v>45613</v>
      </c>
      <c r="C39" s="51">
        <f t="shared" si="10"/>
        <v>41185</v>
      </c>
      <c r="D39" s="52">
        <f t="shared" si="10"/>
        <v>38233</v>
      </c>
      <c r="E39" s="53">
        <f t="shared" si="10"/>
        <v>31590</v>
      </c>
      <c r="F39" s="52">
        <f t="shared" si="10"/>
        <v>34896</v>
      </c>
      <c r="G39" s="52">
        <f t="shared" si="10"/>
        <v>29375</v>
      </c>
      <c r="H39" s="54">
        <f t="shared" si="10"/>
        <v>33420</v>
      </c>
      <c r="I39" s="57"/>
      <c r="J39" s="52">
        <f>ROUND(J37+J38,0)</f>
        <v>28696</v>
      </c>
      <c r="K39" s="52">
        <f>ROUND(K37+K38,0)</f>
        <v>20578</v>
      </c>
      <c r="L39" s="52">
        <f>ROUND(L37+L38,0)</f>
        <v>17625</v>
      </c>
      <c r="M39" s="44"/>
      <c r="N39" s="57"/>
      <c r="O39" s="51">
        <f t="shared" ref="O39:U39" si="11">ROUND(O37+O38,0)</f>
        <v>59784</v>
      </c>
      <c r="P39" s="54">
        <f t="shared" si="11"/>
        <v>51813</v>
      </c>
      <c r="Q39" s="54">
        <f t="shared" si="11"/>
        <v>48861</v>
      </c>
      <c r="R39" s="53">
        <f t="shared" si="11"/>
        <v>38675</v>
      </c>
      <c r="S39" s="52">
        <f t="shared" si="11"/>
        <v>44638</v>
      </c>
      <c r="T39" s="52">
        <f t="shared" si="11"/>
        <v>36461</v>
      </c>
      <c r="U39" s="54">
        <f t="shared" si="11"/>
        <v>43163</v>
      </c>
      <c r="V39" s="52">
        <f>ROUND(V37+V38,0)</f>
        <v>34896</v>
      </c>
      <c r="W39" s="52">
        <f>ROUND(W37+W38,0)</f>
        <v>25006</v>
      </c>
      <c r="X39" s="53">
        <f>ROUND(X37+X38,0)</f>
        <v>22054</v>
      </c>
      <c r="Y39" s="63"/>
    </row>
    <row r="40" spans="1:115" s="64" customFormat="1" ht="10" customHeight="1" x14ac:dyDescent="0.2">
      <c r="A40" s="36"/>
      <c r="B40" s="40"/>
      <c r="C40" s="40"/>
      <c r="D40" s="41"/>
      <c r="E40" s="42"/>
      <c r="F40" s="41"/>
      <c r="G40" s="41"/>
      <c r="H40" s="43"/>
      <c r="I40" s="41"/>
      <c r="J40" s="41"/>
      <c r="K40" s="41"/>
      <c r="L40" s="41"/>
      <c r="M40" s="44"/>
      <c r="N40" s="66"/>
      <c r="O40" s="67"/>
      <c r="P40" s="68"/>
      <c r="Q40" s="68"/>
      <c r="R40" s="66"/>
      <c r="S40" s="68"/>
      <c r="T40" s="66"/>
      <c r="U40" s="68"/>
      <c r="V40" s="66"/>
      <c r="W40" s="66"/>
      <c r="X40" s="69"/>
      <c r="Y40" s="63"/>
      <c r="Z40" s="92"/>
      <c r="AA40" s="80"/>
      <c r="AB40" s="93" t="s">
        <v>25</v>
      </c>
      <c r="AC40" s="80"/>
      <c r="AD40" s="93" t="s">
        <v>25</v>
      </c>
      <c r="AE40" s="80"/>
      <c r="AF40" s="93" t="s">
        <v>25</v>
      </c>
      <c r="AG40" s="80"/>
      <c r="AH40" s="93" t="s">
        <v>25</v>
      </c>
      <c r="AI40" s="80"/>
      <c r="AJ40" s="93" t="s">
        <v>25</v>
      </c>
      <c r="AK40" s="80"/>
      <c r="AL40" s="93" t="s">
        <v>25</v>
      </c>
      <c r="AM40" s="80"/>
      <c r="AN40" s="93" t="s">
        <v>25</v>
      </c>
      <c r="AO40" s="80"/>
      <c r="AP40" s="93" t="s">
        <v>25</v>
      </c>
      <c r="AQ40" s="80"/>
      <c r="AR40" s="93" t="s">
        <v>25</v>
      </c>
      <c r="AS40" s="80"/>
      <c r="AT40" s="93" t="s">
        <v>25</v>
      </c>
      <c r="AU40" s="80"/>
      <c r="AV40" s="94" t="s">
        <v>26</v>
      </c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/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</row>
    <row r="41" spans="1:115" s="64" customFormat="1" ht="14.15" customHeight="1" x14ac:dyDescent="0.2">
      <c r="A41" s="31">
        <v>6</v>
      </c>
      <c r="B41" s="40">
        <f>ROUND($B$1*1.585,0)</f>
        <v>44239</v>
      </c>
      <c r="C41" s="40">
        <f>ROUND($B$1*1.425,0)</f>
        <v>39773</v>
      </c>
      <c r="D41" s="41">
        <f>ROUND($B$1*1.325,0)</f>
        <v>36982</v>
      </c>
      <c r="E41" s="42">
        <f>ROUND($B$1*1.09,0)</f>
        <v>30423</v>
      </c>
      <c r="F41" s="41">
        <f>ROUND($B$1*1.21,0)</f>
        <v>33772</v>
      </c>
      <c r="G41" s="41">
        <f>ROUND($B$1*1.015,0)</f>
        <v>28330</v>
      </c>
      <c r="H41" s="43">
        <f>ROUND($B$1*1.16,0)</f>
        <v>32377</v>
      </c>
      <c r="I41" s="46"/>
      <c r="J41" s="41">
        <f>ROUND($B$1*0.99,0)</f>
        <v>27632</v>
      </c>
      <c r="K41" s="41">
        <f>ROUND($B$1*0.71,0)</f>
        <v>19817</v>
      </c>
      <c r="L41" s="41">
        <f>ROUND($B$1*0.61,0)</f>
        <v>17026</v>
      </c>
      <c r="M41" s="44"/>
      <c r="N41" s="70">
        <v>18</v>
      </c>
      <c r="O41" s="59">
        <f>ROUND($B$1*2.04525,0)</f>
        <v>57085</v>
      </c>
      <c r="P41" s="62">
        <f>ROUND($B$1*1.77255,0)</f>
        <v>49474</v>
      </c>
      <c r="Q41" s="62">
        <f>ROUND($B$1*1.67155,0)</f>
        <v>46655</v>
      </c>
      <c r="R41" s="70">
        <f>ROUND($B$1*1.3231,0)</f>
        <v>36929</v>
      </c>
      <c r="S41" s="62">
        <f>ROUND($B$1*1.52712,0)</f>
        <v>42623</v>
      </c>
      <c r="T41" s="70">
        <f>ROUND($B$1*1.24735,0)</f>
        <v>34815</v>
      </c>
      <c r="U41" s="62">
        <f>ROUND($B$1*1.47662,0)</f>
        <v>41214</v>
      </c>
      <c r="V41" s="70">
        <f>ROUND($B$1*1.19382,0)</f>
        <v>33321</v>
      </c>
      <c r="W41" s="70">
        <f>ROUND($B$1*0.85547,0)</f>
        <v>23877</v>
      </c>
      <c r="X41" s="61">
        <f>ROUND($B$1*0.75447,0)</f>
        <v>21058</v>
      </c>
      <c r="Y41" s="63"/>
    </row>
    <row r="42" spans="1:115" s="64" customFormat="1" ht="14.15" customHeight="1" x14ac:dyDescent="0.2">
      <c r="A42" s="36"/>
      <c r="B42" s="40">
        <f>(ROUND($B$2*1.585,0))*$B$3</f>
        <v>2555.0122815</v>
      </c>
      <c r="C42" s="40">
        <f>(ROUND($B$2*1.425,0))*$B$3</f>
        <v>2297.0996999999998</v>
      </c>
      <c r="D42" s="41">
        <f>(ROUND($B$2*1.325,0))*$B$3</f>
        <v>2135.8817865000001</v>
      </c>
      <c r="E42" s="42">
        <f>(ROUND($B$2*1.09,0))*$B$3</f>
        <v>1757.10087</v>
      </c>
      <c r="F42" s="41">
        <f>(ROUND($B$2*1.21,0))*$B$3</f>
        <v>1950.4902059999999</v>
      </c>
      <c r="G42" s="41">
        <f>(ROUND($B$2*1.015,0))*$B$3</f>
        <v>1636.1724015</v>
      </c>
      <c r="H42" s="43">
        <f>(ROUND($B$2*1.16,0))*$B$3</f>
        <v>1869.9113159999999</v>
      </c>
      <c r="I42" s="46"/>
      <c r="J42" s="41">
        <f>(ROUND($B$2*0.99,0))*$B$3</f>
        <v>1595.8829565000001</v>
      </c>
      <c r="K42" s="41">
        <f>(ROUND($B$2*0.71,0))*$B$3</f>
        <v>1144.5209055</v>
      </c>
      <c r="L42" s="41">
        <f>(ROUND($B$2*0.61,0))*$B$3</f>
        <v>983.30299200000002</v>
      </c>
      <c r="M42" s="44"/>
      <c r="N42" s="70" t="s">
        <v>31</v>
      </c>
      <c r="O42" s="59">
        <f>(ROUND($B$2*2.04525,0))*$B$3</f>
        <v>3296.9394044999999</v>
      </c>
      <c r="P42" s="62">
        <f>(ROUND($B$2*1.77255,0))*$B$3</f>
        <v>2857.3635195000002</v>
      </c>
      <c r="Q42" s="62">
        <f>(ROUND($B$2*1.67155,0))*$B$3</f>
        <v>2694.5220015</v>
      </c>
      <c r="R42" s="70">
        <f>(ROUND($B$2*1.3231,0))*$B$3</f>
        <v>2132.8149779999999</v>
      </c>
      <c r="S42" s="62">
        <f>(ROUND($B$2*1.52712,0))*$B$3</f>
        <v>2461.7452229999999</v>
      </c>
      <c r="T42" s="70">
        <f>(ROUND($B$2*1.24735,0))*$B$3</f>
        <v>2010.7439729999999</v>
      </c>
      <c r="U42" s="62">
        <f>(ROUND($B$2*1.47662,0))*$B$3</f>
        <v>2380.3244639999998</v>
      </c>
      <c r="V42" s="70">
        <f>(ROUND($B$2*1.19382,0))*$B$3</f>
        <v>1924.4524005000001</v>
      </c>
      <c r="W42" s="70">
        <f>(ROUND($B$2*0.85547,0))*$B$3</f>
        <v>1379.0415555</v>
      </c>
      <c r="X42" s="61">
        <f>(ROUND($B$2*0.75447,0))*$B$3</f>
        <v>1216.2000375</v>
      </c>
      <c r="Y42" s="63"/>
    </row>
    <row r="43" spans="1:115" s="64" customFormat="1" ht="14.15" customHeight="1" x14ac:dyDescent="0.2">
      <c r="A43" s="36"/>
      <c r="B43" s="40">
        <f t="shared" ref="B43:H43" si="12">ROUND(B41+B42,0)</f>
        <v>46794</v>
      </c>
      <c r="C43" s="40">
        <f t="shared" si="12"/>
        <v>42070</v>
      </c>
      <c r="D43" s="41">
        <f t="shared" si="12"/>
        <v>39118</v>
      </c>
      <c r="E43" s="42">
        <f t="shared" si="12"/>
        <v>32180</v>
      </c>
      <c r="F43" s="41">
        <f t="shared" si="12"/>
        <v>35722</v>
      </c>
      <c r="G43" s="41">
        <f t="shared" si="12"/>
        <v>29966</v>
      </c>
      <c r="H43" s="43">
        <f t="shared" si="12"/>
        <v>34247</v>
      </c>
      <c r="I43" s="46"/>
      <c r="J43" s="41">
        <f>ROUND(J41+J42,0)</f>
        <v>29228</v>
      </c>
      <c r="K43" s="41">
        <f>ROUND(K41+K42,0)</f>
        <v>20962</v>
      </c>
      <c r="L43" s="41">
        <f>ROUND(L41+L42,0)</f>
        <v>18009</v>
      </c>
      <c r="M43" s="44"/>
      <c r="N43" s="66"/>
      <c r="O43" s="59">
        <f t="shared" ref="O43:U43" si="13">ROUND(O41+O42,0)</f>
        <v>60382</v>
      </c>
      <c r="P43" s="62">
        <f t="shared" si="13"/>
        <v>52331</v>
      </c>
      <c r="Q43" s="62">
        <f t="shared" si="13"/>
        <v>49350</v>
      </c>
      <c r="R43" s="70">
        <f t="shared" si="13"/>
        <v>39062</v>
      </c>
      <c r="S43" s="62">
        <f t="shared" si="13"/>
        <v>45085</v>
      </c>
      <c r="T43" s="70">
        <f t="shared" si="13"/>
        <v>36826</v>
      </c>
      <c r="U43" s="62">
        <f t="shared" si="13"/>
        <v>43594</v>
      </c>
      <c r="V43" s="70">
        <f>ROUND(V41+V42,0)</f>
        <v>35245</v>
      </c>
      <c r="W43" s="70">
        <f>ROUND(W41+W42,0)</f>
        <v>25256</v>
      </c>
      <c r="X43" s="61">
        <f>ROUND(X41+X42,0)</f>
        <v>22274</v>
      </c>
      <c r="Y43" s="63"/>
    </row>
    <row r="44" spans="1:115" s="64" customFormat="1" ht="10" customHeight="1" x14ac:dyDescent="0.2">
      <c r="A44" s="36"/>
      <c r="B44" s="40"/>
      <c r="C44" s="40"/>
      <c r="D44" s="41"/>
      <c r="E44" s="42"/>
      <c r="F44" s="41"/>
      <c r="G44" s="41"/>
      <c r="H44" s="43"/>
      <c r="I44" s="46"/>
      <c r="J44" s="41"/>
      <c r="K44" s="41"/>
      <c r="L44" s="41"/>
      <c r="M44" s="71"/>
      <c r="N44" s="66"/>
      <c r="O44" s="59"/>
      <c r="P44" s="62"/>
      <c r="Q44" s="62"/>
      <c r="R44" s="70"/>
      <c r="S44" s="62"/>
      <c r="T44" s="70"/>
      <c r="U44" s="62"/>
      <c r="V44" s="70"/>
      <c r="W44" s="70"/>
      <c r="X44" s="61"/>
      <c r="Y44" s="63"/>
    </row>
    <row r="45" spans="1:115" s="64" customFormat="1" ht="14.15" customHeight="1" x14ac:dyDescent="0.2">
      <c r="A45" s="50">
        <v>7</v>
      </c>
      <c r="B45" s="51">
        <f>ROUND($B$1*1.625,0)</f>
        <v>45355</v>
      </c>
      <c r="C45" s="51">
        <f>ROUND($B$1*1.455,0)</f>
        <v>40611</v>
      </c>
      <c r="D45" s="52">
        <f>ROUND($B$1*1.355,0)</f>
        <v>37819</v>
      </c>
      <c r="E45" s="53">
        <f>ROUND($B$1*1.11,0)</f>
        <v>30981</v>
      </c>
      <c r="F45" s="52">
        <f>ROUND($B$1*1.237,0)</f>
        <v>34526</v>
      </c>
      <c r="G45" s="52">
        <f>ROUND($B$1*1.035,0)</f>
        <v>28888</v>
      </c>
      <c r="H45" s="54">
        <f>ROUND($B$1*1.187,0)</f>
        <v>33130</v>
      </c>
      <c r="I45" s="57"/>
      <c r="J45" s="52">
        <f>ROUND($B$1*1.007,0)</f>
        <v>28106</v>
      </c>
      <c r="K45" s="52">
        <f>ROUND($B$1*0.722,0)</f>
        <v>20152</v>
      </c>
      <c r="L45" s="52">
        <f>ROUND($B$1*0.622,0)</f>
        <v>17361</v>
      </c>
      <c r="M45" s="72"/>
      <c r="N45" s="73">
        <v>19</v>
      </c>
      <c r="O45" s="51">
        <f>ROUND($B$1*2.06571,0)</f>
        <v>57656</v>
      </c>
      <c r="P45" s="54">
        <f>ROUND($B$1*1.79027,0)</f>
        <v>49968</v>
      </c>
      <c r="Q45" s="54">
        <f>ROUND($B$1*1.68827,0)</f>
        <v>47121</v>
      </c>
      <c r="R45" s="74">
        <f>ROUND($B$1*1.33633,0)</f>
        <v>37298</v>
      </c>
      <c r="S45" s="54">
        <f>ROUND($B$1*1.54239,0)</f>
        <v>43050</v>
      </c>
      <c r="T45" s="74">
        <f>ROUND($B$1*1.25982,0)</f>
        <v>35163</v>
      </c>
      <c r="U45" s="54">
        <f>ROUND($B$1*1.49138,0)</f>
        <v>41626</v>
      </c>
      <c r="V45" s="74">
        <f>ROUND($B$1*1.20576,0)</f>
        <v>33654</v>
      </c>
      <c r="W45" s="74">
        <f>ROUND($B$1*0.86402,0)</f>
        <v>24116</v>
      </c>
      <c r="X45" s="53">
        <f>ROUND($B$1*0.76202,0)</f>
        <v>21269</v>
      </c>
      <c r="Y45" s="63"/>
    </row>
    <row r="46" spans="1:115" s="64" customFormat="1" ht="14.15" customHeight="1" x14ac:dyDescent="0.2">
      <c r="A46" s="56"/>
      <c r="B46" s="51">
        <f>(ROUND($B$2*1.625,0))*$B$3</f>
        <v>2619.4753934999999</v>
      </c>
      <c r="C46" s="51">
        <f>(ROUND($B$2*1.455,0))*$B$3</f>
        <v>2345.4470339999998</v>
      </c>
      <c r="D46" s="52">
        <f>(ROUND($B$2*1.355,0))*$B$3</f>
        <v>2184.2291205000001</v>
      </c>
      <c r="E46" s="53">
        <f>(ROUND($B$2*1.11,0))*$B$3</f>
        <v>1789.3324259999999</v>
      </c>
      <c r="F46" s="52">
        <f>(ROUND($B$2*1.237,0))*$B$3</f>
        <v>1994.0268599999999</v>
      </c>
      <c r="G46" s="52">
        <f>(ROUND($B$2*1.035,0))*$B$3</f>
        <v>1668.4039574999999</v>
      </c>
      <c r="H46" s="54">
        <f>(ROUND($B$2*1.187,0))*$B$3</f>
        <v>1913.4479699999999</v>
      </c>
      <c r="I46" s="57"/>
      <c r="J46" s="52">
        <f>(ROUND($B$2*1.007,0))*$B$3</f>
        <v>1623.3038325</v>
      </c>
      <c r="K46" s="52">
        <f>(ROUND($B$2*0.722,0))*$B$3</f>
        <v>1163.8838925</v>
      </c>
      <c r="L46" s="52">
        <f>(ROUND($B$2*0.622,0))*$B$3</f>
        <v>1002.665979</v>
      </c>
      <c r="M46" s="72"/>
      <c r="N46" s="73"/>
      <c r="O46" s="51">
        <f>(ROUND($B$2*2.06571,0))*$B$3</f>
        <v>3329.8925625000002</v>
      </c>
      <c r="P46" s="54">
        <f>(ROUND($B$2*1.79027,0))*$B$3</f>
        <v>2885.9269319999999</v>
      </c>
      <c r="Q46" s="54">
        <f>(ROUND($B$2*1.68827155,0))*$B$3</f>
        <v>2721.4618095000001</v>
      </c>
      <c r="R46" s="74">
        <f>(ROUND($B$2*1.33633,0))*$B$3</f>
        <v>2154.1623705000002</v>
      </c>
      <c r="S46" s="54">
        <f>(ROUND($B$2*1.54239,0))*$B$3</f>
        <v>2486.3398244999998</v>
      </c>
      <c r="T46" s="74">
        <f>(ROUND($B$2*1.25982,0))*$B$3</f>
        <v>2030.8285619999999</v>
      </c>
      <c r="U46" s="54">
        <f>(ROUND($B$2*1.49138,0))*$B$3</f>
        <v>2404.0771964999999</v>
      </c>
      <c r="V46" s="74">
        <f>(ROUND($B$2*1.20576,0))*$B$3</f>
        <v>1943.6951205</v>
      </c>
      <c r="W46" s="74">
        <f>(ROUND($B$2*0.86402,0))*$B$3</f>
        <v>1392.8121269999999</v>
      </c>
      <c r="X46" s="53">
        <f>(ROUND($B$2*0.76202,0))*$B$3</f>
        <v>1228.3470044999999</v>
      </c>
      <c r="Y46" s="63"/>
    </row>
    <row r="47" spans="1:115" s="64" customFormat="1" ht="14.15" customHeight="1" x14ac:dyDescent="0.2">
      <c r="A47" s="56"/>
      <c r="B47" s="51">
        <f t="shared" ref="B47:H47" si="14">ROUND(B45+B46,0)</f>
        <v>47974</v>
      </c>
      <c r="C47" s="51">
        <f t="shared" si="14"/>
        <v>42956</v>
      </c>
      <c r="D47" s="52">
        <f t="shared" si="14"/>
        <v>40003</v>
      </c>
      <c r="E47" s="53">
        <f t="shared" si="14"/>
        <v>32770</v>
      </c>
      <c r="F47" s="52">
        <f t="shared" si="14"/>
        <v>36520</v>
      </c>
      <c r="G47" s="52">
        <f t="shared" si="14"/>
        <v>30556</v>
      </c>
      <c r="H47" s="54">
        <f t="shared" si="14"/>
        <v>35043</v>
      </c>
      <c r="I47" s="57"/>
      <c r="J47" s="52">
        <f>ROUND(J45+J46,0)</f>
        <v>29729</v>
      </c>
      <c r="K47" s="52">
        <f>ROUND(K45+K46,0)</f>
        <v>21316</v>
      </c>
      <c r="L47" s="52">
        <f>ROUND(L45+L46,0)</f>
        <v>18364</v>
      </c>
      <c r="M47" s="72"/>
      <c r="N47" s="73"/>
      <c r="O47" s="51">
        <f t="shared" ref="O47:U47" si="15">ROUND(O45+O46,0)</f>
        <v>60986</v>
      </c>
      <c r="P47" s="54">
        <f t="shared" si="15"/>
        <v>52854</v>
      </c>
      <c r="Q47" s="54">
        <f t="shared" si="15"/>
        <v>49842</v>
      </c>
      <c r="R47" s="74">
        <f t="shared" si="15"/>
        <v>39452</v>
      </c>
      <c r="S47" s="54">
        <f t="shared" si="15"/>
        <v>45536</v>
      </c>
      <c r="T47" s="74">
        <f t="shared" si="15"/>
        <v>37194</v>
      </c>
      <c r="U47" s="54">
        <f t="shared" si="15"/>
        <v>44030</v>
      </c>
      <c r="V47" s="74">
        <f>ROUND(V45+V46,0)</f>
        <v>35598</v>
      </c>
      <c r="W47" s="74">
        <f>ROUND(W45+W46,0)</f>
        <v>25509</v>
      </c>
      <c r="X47" s="53">
        <f>ROUND(X45+X46,0)</f>
        <v>22497</v>
      </c>
      <c r="Y47" s="63"/>
    </row>
    <row r="48" spans="1:115" s="64" customFormat="1" ht="10" customHeight="1" x14ac:dyDescent="0.2">
      <c r="A48" s="36"/>
      <c r="B48" s="40"/>
      <c r="C48" s="40"/>
      <c r="D48" s="41"/>
      <c r="E48" s="42"/>
      <c r="F48" s="41"/>
      <c r="G48" s="41"/>
      <c r="H48" s="43"/>
      <c r="I48" s="46"/>
      <c r="J48" s="41"/>
      <c r="K48" s="41"/>
      <c r="L48" s="41"/>
      <c r="M48" s="71"/>
      <c r="N48" s="66"/>
      <c r="O48" s="59"/>
      <c r="P48" s="62"/>
      <c r="Q48" s="62"/>
      <c r="R48" s="70"/>
      <c r="S48" s="62"/>
      <c r="T48" s="70"/>
      <c r="U48" s="62"/>
      <c r="V48" s="70"/>
      <c r="W48" s="70"/>
      <c r="X48" s="61"/>
      <c r="Y48" s="63"/>
    </row>
    <row r="49" spans="1:109" ht="14.15" customHeight="1" x14ac:dyDescent="0.2">
      <c r="A49" s="31">
        <v>8</v>
      </c>
      <c r="B49" s="40">
        <f>ROUND($B$1*1.665,0)</f>
        <v>46472</v>
      </c>
      <c r="C49" s="40">
        <f>ROUND($B$1*1.485,0)</f>
        <v>41448</v>
      </c>
      <c r="D49" s="41">
        <f>ROUND($B$1*1.385,0)</f>
        <v>38657</v>
      </c>
      <c r="E49" s="42">
        <f>ROUND($B$1*1.13,0)</f>
        <v>31539</v>
      </c>
      <c r="F49" s="41">
        <f>ROUND($B$1*1.265,0)</f>
        <v>35307</v>
      </c>
      <c r="G49" s="41">
        <f>ROUND($B$1*1.055,0)</f>
        <v>29446</v>
      </c>
      <c r="H49" s="43">
        <f>ROUND($B$1*1.215,0)</f>
        <v>33912</v>
      </c>
      <c r="I49" s="46"/>
      <c r="J49" s="41">
        <f>ROUND($B$1*1.025,0)</f>
        <v>28609</v>
      </c>
      <c r="K49" s="41">
        <f>ROUND($B$1*0.735,0)</f>
        <v>20515</v>
      </c>
      <c r="L49" s="41">
        <f>ROUND($B$1*0.635,0)</f>
        <v>17723</v>
      </c>
      <c r="M49" s="72"/>
      <c r="N49" s="66">
        <v>20</v>
      </c>
      <c r="O49" s="59">
        <f>ROUND($B$1*2.08637,0)</f>
        <v>58233</v>
      </c>
      <c r="P49" s="62">
        <f>ROUND($B$1*1.80818,0)</f>
        <v>50468</v>
      </c>
      <c r="Q49" s="62">
        <f>ROUND($B$1*1.70515,0)</f>
        <v>47592</v>
      </c>
      <c r="R49" s="70">
        <f>ROUND($B$1*1.34969,0)</f>
        <v>37671</v>
      </c>
      <c r="S49" s="62">
        <f>ROUND($B$1*1.55781,0)</f>
        <v>43480</v>
      </c>
      <c r="T49" s="70">
        <f>ROUND($B$1*1.27242,0)</f>
        <v>35515</v>
      </c>
      <c r="U49" s="62">
        <f>ROUND($B$1*1.5063,0)</f>
        <v>42042</v>
      </c>
      <c r="V49" s="70">
        <f>ROUND($B$1*1.21782,0)</f>
        <v>33991</v>
      </c>
      <c r="W49" s="70">
        <f>ROUND($B$1*0.87267,0)</f>
        <v>24357</v>
      </c>
      <c r="X49" s="61">
        <f>ROUND($B$1*0.76964,0)</f>
        <v>21481</v>
      </c>
      <c r="Y49" s="23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109" ht="14.15" customHeight="1" x14ac:dyDescent="0.2">
      <c r="A50" s="36"/>
      <c r="B50" s="40">
        <f>(ROUND($B$2*1.665,0))*$B$3</f>
        <v>2683.9986389999999</v>
      </c>
      <c r="C50" s="40">
        <f>(ROUND($B$2*1.485,0))*$B$3</f>
        <v>2393.7943679999998</v>
      </c>
      <c r="D50" s="41">
        <f>(ROUND($B$2*1.385,0))*$B$3</f>
        <v>2232.6365879999998</v>
      </c>
      <c r="E50" s="42">
        <f>(ROUND($B$2*1.13,0))*$B$3</f>
        <v>1821.5639819999999</v>
      </c>
      <c r="F50" s="41">
        <f>(ROUND($B$2*1.265,0))*$B$3</f>
        <v>2039.1871185</v>
      </c>
      <c r="G50" s="41">
        <f>(ROUND($B$2*1.055,0))*$B$3</f>
        <v>1700.6355134999999</v>
      </c>
      <c r="H50" s="43">
        <f>(ROUND($B$2*1.215,0))*$B$3</f>
        <v>1958.6082285</v>
      </c>
      <c r="I50" s="46"/>
      <c r="J50" s="41">
        <f>(ROUND($B$2*1.025,0))*$B$3</f>
        <v>1652.2881795000001</v>
      </c>
      <c r="K50" s="41">
        <f>(ROUND($B$2*0.735,0))*$B$3</f>
        <v>1184.8103504999999</v>
      </c>
      <c r="L50" s="41">
        <f>(ROUND($B$2*0.635,0))*$B$3</f>
        <v>1023.592437</v>
      </c>
      <c r="M50" s="72"/>
      <c r="N50" s="66"/>
      <c r="O50" s="59">
        <f>(ROUND($B$2*2.08637,0))*$B$3</f>
        <v>3363.2065214999998</v>
      </c>
      <c r="P50" s="62">
        <f>(ROUND($B$2*1.80818,0))*$B$3</f>
        <v>2914.7910120000001</v>
      </c>
      <c r="Q50" s="62">
        <f>(ROUND($B$2*1.70515,0))*$B$3</f>
        <v>2748.7022849999998</v>
      </c>
      <c r="R50" s="70">
        <f>(ROUND($B$2*1.34969,0))*$B$3</f>
        <v>2175.6901634999999</v>
      </c>
      <c r="S50" s="62">
        <f>(ROUND($B$2*1.55781,0))*$B$3</f>
        <v>2511.1749599999998</v>
      </c>
      <c r="T50" s="70">
        <f>(ROUND($B$2*1.27242,0))*$B$3</f>
        <v>2051.1536849999998</v>
      </c>
      <c r="U50" s="62">
        <f>(ROUND($B$2*1.5063,0))*$B$3</f>
        <v>2428.1305965000001</v>
      </c>
      <c r="V50" s="70">
        <f>(ROUND($B$2*1.21782,0))*$B$3</f>
        <v>1963.1182409999999</v>
      </c>
      <c r="W50" s="70">
        <f>(ROUND($B$2*0.87267,0))*$B$3</f>
        <v>1406.763099</v>
      </c>
      <c r="X50" s="61">
        <f>(ROUND($B$2*0.76964,0))*$B$3</f>
        <v>1240.6743719999999</v>
      </c>
      <c r="Y50" s="23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109" ht="14.15" customHeight="1" x14ac:dyDescent="0.2">
      <c r="A51" s="36"/>
      <c r="B51" s="40">
        <f t="shared" ref="B51:H51" si="16">ROUND(B49+B50,0)</f>
        <v>49156</v>
      </c>
      <c r="C51" s="40">
        <f t="shared" si="16"/>
        <v>43842</v>
      </c>
      <c r="D51" s="41">
        <f t="shared" si="16"/>
        <v>40890</v>
      </c>
      <c r="E51" s="42">
        <f t="shared" si="16"/>
        <v>33361</v>
      </c>
      <c r="F51" s="41">
        <f t="shared" si="16"/>
        <v>37346</v>
      </c>
      <c r="G51" s="41">
        <f t="shared" si="16"/>
        <v>31147</v>
      </c>
      <c r="H51" s="43">
        <f t="shared" si="16"/>
        <v>35871</v>
      </c>
      <c r="I51" s="46"/>
      <c r="J51" s="41">
        <f>ROUND(J49+J50,0)</f>
        <v>30261</v>
      </c>
      <c r="K51" s="41">
        <f>ROUND(K49+K50,0)</f>
        <v>21700</v>
      </c>
      <c r="L51" s="41">
        <f>ROUND(L49+L50,0)</f>
        <v>18747</v>
      </c>
      <c r="M51" s="72"/>
      <c r="N51" s="66"/>
      <c r="O51" s="59">
        <f t="shared" ref="O51:U51" si="17">ROUND(O49+O50,0)</f>
        <v>61596</v>
      </c>
      <c r="P51" s="62">
        <f t="shared" si="17"/>
        <v>53383</v>
      </c>
      <c r="Q51" s="62">
        <f t="shared" si="17"/>
        <v>50341</v>
      </c>
      <c r="R51" s="70">
        <f t="shared" si="17"/>
        <v>39847</v>
      </c>
      <c r="S51" s="62">
        <f t="shared" si="17"/>
        <v>45991</v>
      </c>
      <c r="T51" s="70">
        <f t="shared" si="17"/>
        <v>37566</v>
      </c>
      <c r="U51" s="62">
        <f t="shared" si="17"/>
        <v>44470</v>
      </c>
      <c r="V51" s="70">
        <f>ROUND(V49+V50,0)</f>
        <v>35954</v>
      </c>
      <c r="W51" s="70">
        <f>ROUND(W49+W50,0)</f>
        <v>25764</v>
      </c>
      <c r="X51" s="61">
        <f>ROUND(X49+X50,0)</f>
        <v>22722</v>
      </c>
      <c r="Y51" s="23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109" ht="10" customHeight="1" x14ac:dyDescent="0.2">
      <c r="A52" s="36"/>
      <c r="B52" s="40"/>
      <c r="C52" s="40"/>
      <c r="D52" s="41"/>
      <c r="E52" s="42"/>
      <c r="F52" s="41"/>
      <c r="G52" s="41"/>
      <c r="H52" s="43"/>
      <c r="I52" s="46"/>
      <c r="J52" s="41"/>
      <c r="K52" s="41"/>
      <c r="L52" s="41"/>
      <c r="M52" s="71"/>
      <c r="N52" s="66"/>
      <c r="O52" s="59"/>
      <c r="P52" s="62"/>
      <c r="Q52" s="62"/>
      <c r="R52" s="70"/>
      <c r="S52" s="62"/>
      <c r="T52" s="70"/>
      <c r="U52" s="62"/>
      <c r="V52" s="70"/>
      <c r="W52" s="70"/>
      <c r="X52" s="61"/>
      <c r="Y52" s="23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109" s="64" customFormat="1" ht="14.15" customHeight="1" x14ac:dyDescent="0.2">
      <c r="A53" s="50">
        <v>9</v>
      </c>
      <c r="B53" s="51">
        <f>ROUND($B$1*1.705,0)</f>
        <v>47588</v>
      </c>
      <c r="C53" s="51">
        <f>ROUND($B$1*1.515,0)</f>
        <v>42285</v>
      </c>
      <c r="D53" s="52">
        <f>ROUND($B$1*1.415,0)</f>
        <v>39494</v>
      </c>
      <c r="E53" s="53">
        <f>ROUND($B$1*1.15,0)</f>
        <v>32098</v>
      </c>
      <c r="F53" s="52">
        <f>ROUND($B$1*1.292,0)</f>
        <v>36061</v>
      </c>
      <c r="G53" s="52">
        <f>ROUND($B$1*1.075,0)</f>
        <v>30004</v>
      </c>
      <c r="H53" s="54">
        <f>ROUND($B$1*1.242,0)</f>
        <v>34665</v>
      </c>
      <c r="I53" s="57"/>
      <c r="J53" s="52">
        <f>ROUND($B$1*1.042,0)</f>
        <v>29083</v>
      </c>
      <c r="K53" s="52">
        <f>ROUND($B$1*0.747,0)</f>
        <v>20850</v>
      </c>
      <c r="L53" s="52">
        <f>ROUND($B$1*0.647,0)</f>
        <v>18058</v>
      </c>
      <c r="M53" s="72"/>
      <c r="N53" s="73">
        <v>21</v>
      </c>
      <c r="O53" s="51">
        <f>ROUND($B$1*2.10723,0)</f>
        <v>58815</v>
      </c>
      <c r="P53" s="54">
        <f>ROUND($B$1*1.82626,0)</f>
        <v>50973</v>
      </c>
      <c r="Q53" s="54">
        <f>ROUND($B$1*1.7222,0)</f>
        <v>48068</v>
      </c>
      <c r="R53" s="74">
        <f>ROUND($B$1*1.36319,0)</f>
        <v>38048</v>
      </c>
      <c r="S53" s="54">
        <f>ROUND($B$1*1.57339,0)</f>
        <v>43915</v>
      </c>
      <c r="T53" s="74">
        <f>ROUND($B$1*1.28514,0)</f>
        <v>35870</v>
      </c>
      <c r="U53" s="54">
        <f>ROUND($B$1*1.52136,0)</f>
        <v>42463</v>
      </c>
      <c r="V53" s="74">
        <f>ROUND($B$1*1.23,0)</f>
        <v>34331</v>
      </c>
      <c r="W53" s="74">
        <f>ROUND($B$1*0.88139,0)</f>
        <v>24600</v>
      </c>
      <c r="X53" s="53">
        <f>ROUND($B$1*0.77733,0)</f>
        <v>21696</v>
      </c>
      <c r="Y53" s="63"/>
    </row>
    <row r="54" spans="1:109" s="64" customFormat="1" ht="14.15" customHeight="1" x14ac:dyDescent="0.2">
      <c r="A54" s="56"/>
      <c r="B54" s="51">
        <f>(ROUND($B$2*1.705,0))*$B$3</f>
        <v>2748.4617509999998</v>
      </c>
      <c r="C54" s="51">
        <f>(ROUND($B$2*1.515,0))*$B$3</f>
        <v>2442.2018355</v>
      </c>
      <c r="D54" s="52">
        <f>(ROUND($B$2*1.415,0))*$B$3</f>
        <v>2280.9839219999999</v>
      </c>
      <c r="E54" s="53">
        <f>(ROUND($B$2*1.15,0))*$B$3</f>
        <v>1853.7955380000001</v>
      </c>
      <c r="F54" s="52">
        <f>(ROUND($B$2*1.292,0))*$B$3</f>
        <v>2082.7237725</v>
      </c>
      <c r="G54" s="52">
        <f>(ROUND($B$2*1.075,0))*$B$3</f>
        <v>1732.927203</v>
      </c>
      <c r="H54" s="54">
        <f>(ROUND($B$2*1.242,0))*$B$3</f>
        <v>2002.0847489999999</v>
      </c>
      <c r="I54" s="57"/>
      <c r="J54" s="52">
        <f>(ROUND($B$2*1.042,0))*$B$3</f>
        <v>1679.7090555</v>
      </c>
      <c r="K54" s="52">
        <f>(ROUND($B$2*0.747,0))*$B$3</f>
        <v>1204.1733374999999</v>
      </c>
      <c r="L54" s="52">
        <f>(ROUND($B$2*0.647,0))*$B$3</f>
        <v>1042.955424</v>
      </c>
      <c r="M54" s="72"/>
      <c r="N54" s="73"/>
      <c r="O54" s="51">
        <f>(ROUND($B$2*2.10723,0))*$B$3</f>
        <v>3396.8812815000001</v>
      </c>
      <c r="P54" s="54">
        <f>(ROUND($B$2*1.82626,0))*$B$3</f>
        <v>2943.9557595000001</v>
      </c>
      <c r="Q54" s="54">
        <f>(ROUND($B$2*1.7222,0))*$B$3</f>
        <v>2776.1832945000001</v>
      </c>
      <c r="R54" s="74">
        <f>(ROUND($B$2*1.36319,0))*$B$3</f>
        <v>2197.4584905000002</v>
      </c>
      <c r="S54" s="54">
        <f>(ROUND($B$2*1.57339,0))*$B$3</f>
        <v>2536.310763</v>
      </c>
      <c r="T54" s="74">
        <f>(ROUND($B$2*1.28514,0))*$B$3</f>
        <v>2071.6592085000002</v>
      </c>
      <c r="U54" s="54">
        <f>(ROUND($B$2*1.52136,0))*$B$3</f>
        <v>2452.4245304999999</v>
      </c>
      <c r="V54" s="74">
        <f>(ROUND($B$2*1.23,0))*$B$3</f>
        <v>1982.7818955</v>
      </c>
      <c r="W54" s="74">
        <f>(ROUND($B$2*0.88139,0))*$B$3</f>
        <v>1420.7742045</v>
      </c>
      <c r="X54" s="53">
        <f>(ROUND($B$2*0.77733,0))*$B$3</f>
        <v>1253.0618729999999</v>
      </c>
      <c r="Y54" s="63"/>
    </row>
    <row r="55" spans="1:109" s="64" customFormat="1" ht="14.15" customHeight="1" x14ac:dyDescent="0.2">
      <c r="A55" s="56"/>
      <c r="B55" s="51">
        <f t="shared" ref="B55:H55" si="18">ROUND(B53+B54,0)</f>
        <v>50336</v>
      </c>
      <c r="C55" s="51">
        <f t="shared" si="18"/>
        <v>44727</v>
      </c>
      <c r="D55" s="52">
        <f t="shared" si="18"/>
        <v>41775</v>
      </c>
      <c r="E55" s="53">
        <f t="shared" si="18"/>
        <v>33952</v>
      </c>
      <c r="F55" s="52">
        <f t="shared" si="18"/>
        <v>38144</v>
      </c>
      <c r="G55" s="52">
        <f t="shared" si="18"/>
        <v>31737</v>
      </c>
      <c r="H55" s="54">
        <f t="shared" si="18"/>
        <v>36667</v>
      </c>
      <c r="I55" s="57"/>
      <c r="J55" s="52">
        <f>ROUND(J53+J54,0)</f>
        <v>30763</v>
      </c>
      <c r="K55" s="52">
        <f>ROUND(K53+K54,0)</f>
        <v>22054</v>
      </c>
      <c r="L55" s="52">
        <f>ROUND(L53+L54,0)</f>
        <v>19101</v>
      </c>
      <c r="M55" s="72"/>
      <c r="N55" s="73"/>
      <c r="O55" s="51">
        <f t="shared" ref="O55:U55" si="19">ROUND(O53+O54,0)</f>
        <v>62212</v>
      </c>
      <c r="P55" s="54">
        <f t="shared" si="19"/>
        <v>53917</v>
      </c>
      <c r="Q55" s="54">
        <f t="shared" si="19"/>
        <v>50844</v>
      </c>
      <c r="R55" s="74">
        <f t="shared" si="19"/>
        <v>40245</v>
      </c>
      <c r="S55" s="54">
        <f t="shared" si="19"/>
        <v>46451</v>
      </c>
      <c r="T55" s="74">
        <f t="shared" si="19"/>
        <v>37942</v>
      </c>
      <c r="U55" s="54">
        <f t="shared" si="19"/>
        <v>44915</v>
      </c>
      <c r="V55" s="74">
        <f>ROUND(V53+V54,0)</f>
        <v>36314</v>
      </c>
      <c r="W55" s="74">
        <f>ROUND(W53+W54,0)</f>
        <v>26021</v>
      </c>
      <c r="X55" s="53">
        <f>ROUND(X53+X54,0)</f>
        <v>22949</v>
      </c>
      <c r="Y55" s="63"/>
    </row>
    <row r="56" spans="1:109" ht="10" customHeight="1" x14ac:dyDescent="0.2">
      <c r="A56" s="36"/>
      <c r="B56" s="47"/>
      <c r="C56" s="47"/>
      <c r="D56" s="46"/>
      <c r="E56" s="49"/>
      <c r="F56" s="46"/>
      <c r="G56" s="46"/>
      <c r="H56" s="48"/>
      <c r="I56" s="46"/>
      <c r="J56" s="46"/>
      <c r="K56" s="46"/>
      <c r="L56" s="46"/>
      <c r="M56" s="72"/>
      <c r="N56" s="66"/>
      <c r="O56" s="59"/>
      <c r="P56" s="62"/>
      <c r="Q56" s="62"/>
      <c r="R56" s="70"/>
      <c r="S56" s="62"/>
      <c r="T56" s="70"/>
      <c r="U56" s="62"/>
      <c r="V56" s="70"/>
      <c r="W56" s="70"/>
      <c r="X56" s="61"/>
      <c r="Y56" s="23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109" ht="14.15" customHeight="1" x14ac:dyDescent="0.2">
      <c r="A57" s="31">
        <v>10</v>
      </c>
      <c r="B57" s="40">
        <f>ROUND($B$1*1.745,0)</f>
        <v>48705</v>
      </c>
      <c r="C57" s="40">
        <f>ROUND($B$1*1.545,0)</f>
        <v>43122</v>
      </c>
      <c r="D57" s="41">
        <f>ROUND($B$1*1.445,0)</f>
        <v>40331</v>
      </c>
      <c r="E57" s="42">
        <f>ROUND($B$1*1.17,0)</f>
        <v>32656</v>
      </c>
      <c r="F57" s="41">
        <f>ROUND($B$1*1.32,0)</f>
        <v>36843</v>
      </c>
      <c r="G57" s="41">
        <f>ROUND($B$1*1.095,0)</f>
        <v>30563</v>
      </c>
      <c r="H57" s="43">
        <f>ROUND($B$1*1.27,0)</f>
        <v>35447</v>
      </c>
      <c r="I57" s="46"/>
      <c r="J57" s="41">
        <f>ROUND($B$1*1.06,0)</f>
        <v>29586</v>
      </c>
      <c r="K57" s="41">
        <f>ROUND($B$1*0.76,0)</f>
        <v>21212</v>
      </c>
      <c r="L57" s="41">
        <f>ROUND($B$1*0.66,0)</f>
        <v>18421</v>
      </c>
      <c r="M57" s="72"/>
      <c r="N57" s="66">
        <v>22</v>
      </c>
      <c r="O57" s="59">
        <f>ROUND($B$1*2.1283,0)</f>
        <v>59403</v>
      </c>
      <c r="P57" s="62">
        <f>ROUND($B$1*1.84452,0)</f>
        <v>51482</v>
      </c>
      <c r="Q57" s="62">
        <f>ROUND($B$1*1.73942,0)</f>
        <v>48549</v>
      </c>
      <c r="R57" s="70">
        <f>ROUND($B$1*1.37682,0)</f>
        <v>38428</v>
      </c>
      <c r="S57" s="62">
        <f>ROUND($B$1*1.58912,0)</f>
        <v>44354</v>
      </c>
      <c r="T57" s="70">
        <f>ROUND($B$1*1.29799,0)</f>
        <v>36228</v>
      </c>
      <c r="U57" s="62">
        <f>ROUND($B$1*1.53657,0)</f>
        <v>42887</v>
      </c>
      <c r="V57" s="70">
        <f>ROUND($B$1*1.2423,0)</f>
        <v>34674</v>
      </c>
      <c r="W57" s="70">
        <f>ROUND($B$1*0.8902,0)</f>
        <v>24846</v>
      </c>
      <c r="X57" s="61">
        <f>ROUND($B$1*0.7851,0)</f>
        <v>21913</v>
      </c>
      <c r="Y57" s="23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109" ht="14.15" customHeight="1" x14ac:dyDescent="0.2">
      <c r="A58" s="36"/>
      <c r="B58" s="40">
        <f>(ROUND($B$2*1.745,0))*$B$3</f>
        <v>2812.9248630000002</v>
      </c>
      <c r="C58" s="40">
        <f>(ROUND($B$2*1.545,0))*$B$3</f>
        <v>2490.5491695000001</v>
      </c>
      <c r="D58" s="41">
        <f>(ROUND($B$2*1.445,0))*$B$3</f>
        <v>2329.3312559999999</v>
      </c>
      <c r="E58" s="42">
        <f>(ROUND($B$2*1.17,0))*$B$3</f>
        <v>1886.027094</v>
      </c>
      <c r="F58" s="41">
        <f>(ROUND($B$2*1.32,0))*$B$3</f>
        <v>2127.8238974999999</v>
      </c>
      <c r="G58" s="41">
        <f>(ROUND($B$2*1.095,0))*$B$3</f>
        <v>1765.1587589999999</v>
      </c>
      <c r="H58" s="43">
        <f>(ROUND($B$2*1.27,0))*$B$3</f>
        <v>2047.2450074999999</v>
      </c>
      <c r="I58" s="46"/>
      <c r="J58" s="41">
        <f>(ROUND($B$2*1.06,0))*$B$3</f>
        <v>1708.6934025</v>
      </c>
      <c r="K58" s="41">
        <f>(ROUND($B$2*0.76,0))*$B$3</f>
        <v>1225.0997955</v>
      </c>
      <c r="L58" s="41">
        <f>(ROUND($B$2*0.66,0))*$B$3</f>
        <v>1063.9420155</v>
      </c>
      <c r="M58" s="72"/>
      <c r="N58" s="66"/>
      <c r="O58" s="59">
        <f>(ROUND($B$2*2.1283,0))*$B$3</f>
        <v>3430.7965755</v>
      </c>
      <c r="P58" s="62">
        <f>(ROUND($B$2*1.84452,0))*$B$3</f>
        <v>2973.3610410000001</v>
      </c>
      <c r="Q58" s="62">
        <f>(ROUND($B$2*1.73942,0))*$B$3</f>
        <v>2803.9649715</v>
      </c>
      <c r="R58" s="70">
        <f>(ROUND($B$2*1.37682,0))*$B$3</f>
        <v>2219.4072179999998</v>
      </c>
      <c r="S58" s="62">
        <f>(ROUND($B$2*1.58912,0))*$B$3</f>
        <v>2561.6871000000001</v>
      </c>
      <c r="T58" s="70">
        <f>(ROUND($B$2*1.29799,0))*$B$3</f>
        <v>2092.3451325000001</v>
      </c>
      <c r="U58" s="62">
        <f>(ROUND($B$2*1.53657,0))*$B$3</f>
        <v>2476.9589984999998</v>
      </c>
      <c r="V58" s="70">
        <f>(ROUND($B$2*1.2423,0))*$B$3</f>
        <v>2002.5658169999999</v>
      </c>
      <c r="W58" s="70">
        <f>(ROUND($B$2*0.8902,0))*$B$3</f>
        <v>1435.025844</v>
      </c>
      <c r="X58" s="61">
        <f>(ROUND($B$2*0.7851,0))*$B$3</f>
        <v>1265.569641</v>
      </c>
      <c r="Y58" s="23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109" ht="14.15" customHeight="1" x14ac:dyDescent="0.2">
      <c r="A59" s="36"/>
      <c r="B59" s="40">
        <f t="shared" ref="B59:H59" si="20">ROUND(B57+B58,0)</f>
        <v>51518</v>
      </c>
      <c r="C59" s="40">
        <f t="shared" si="20"/>
        <v>45613</v>
      </c>
      <c r="D59" s="41">
        <f t="shared" si="20"/>
        <v>42660</v>
      </c>
      <c r="E59" s="42">
        <f t="shared" si="20"/>
        <v>34542</v>
      </c>
      <c r="F59" s="41">
        <f t="shared" si="20"/>
        <v>38971</v>
      </c>
      <c r="G59" s="41">
        <f t="shared" si="20"/>
        <v>32328</v>
      </c>
      <c r="H59" s="43">
        <f t="shared" si="20"/>
        <v>37494</v>
      </c>
      <c r="I59" s="46"/>
      <c r="J59" s="41">
        <f>ROUND(J57+J58,0)</f>
        <v>31295</v>
      </c>
      <c r="K59" s="41">
        <f>ROUND(K57+K58,0)</f>
        <v>22437</v>
      </c>
      <c r="L59" s="41">
        <f>ROUND(L57+L58,0)</f>
        <v>19485</v>
      </c>
      <c r="M59" s="72"/>
      <c r="N59" s="66"/>
      <c r="O59" s="59">
        <f t="shared" ref="O59:U59" si="21">ROUND(O57+O58,0)</f>
        <v>62834</v>
      </c>
      <c r="P59" s="62">
        <f t="shared" si="21"/>
        <v>54455</v>
      </c>
      <c r="Q59" s="62">
        <f t="shared" si="21"/>
        <v>51353</v>
      </c>
      <c r="R59" s="70">
        <f t="shared" si="21"/>
        <v>40647</v>
      </c>
      <c r="S59" s="62">
        <f t="shared" si="21"/>
        <v>46916</v>
      </c>
      <c r="T59" s="70">
        <f t="shared" si="21"/>
        <v>38320</v>
      </c>
      <c r="U59" s="62">
        <f t="shared" si="21"/>
        <v>45364</v>
      </c>
      <c r="V59" s="70">
        <f>ROUND(V57+V58,0)</f>
        <v>36677</v>
      </c>
      <c r="W59" s="70">
        <f>ROUND(W57+W58,0)</f>
        <v>26281</v>
      </c>
      <c r="X59" s="61">
        <f>ROUND(X57+X58,0)</f>
        <v>23179</v>
      </c>
      <c r="Y59" s="23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109" ht="10" customHeight="1" x14ac:dyDescent="0.2">
      <c r="A60" s="36"/>
      <c r="B60" s="39"/>
      <c r="C60" s="39"/>
      <c r="D60" s="1"/>
      <c r="E60" s="22"/>
      <c r="F60" s="1"/>
      <c r="G60" s="1"/>
      <c r="H60" s="23"/>
      <c r="I60" s="1"/>
      <c r="J60" s="1"/>
      <c r="K60" s="1"/>
      <c r="L60" s="1"/>
      <c r="M60" s="75"/>
      <c r="N60" s="1"/>
      <c r="O60" s="1"/>
      <c r="P60" s="4"/>
      <c r="Q60" s="4"/>
      <c r="R60" s="1"/>
      <c r="S60" s="1"/>
      <c r="T60" s="1"/>
      <c r="U60" s="1"/>
      <c r="V60" s="1"/>
      <c r="W60" s="1"/>
      <c r="X60" s="14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109" s="55" customFormat="1" ht="14.15" customHeight="1" x14ac:dyDescent="0.2">
      <c r="A61" s="50">
        <v>11</v>
      </c>
      <c r="B61" s="76">
        <f>ROUND($B$1*1.785,0)</f>
        <v>49821</v>
      </c>
      <c r="C61" s="76">
        <f>ROUND($B$1*1.575,0)</f>
        <v>43960</v>
      </c>
      <c r="D61" s="77">
        <f>ROUND($B$1*1.475,0)</f>
        <v>41169</v>
      </c>
      <c r="E61" s="78">
        <f>ROUND($B$1*1.19,0)</f>
        <v>33214</v>
      </c>
      <c r="F61" s="77">
        <f>ROUND($B$1*1.347,0)</f>
        <v>37596</v>
      </c>
      <c r="G61" s="77">
        <f>ROUND($B$1*1.115,0)</f>
        <v>31121</v>
      </c>
      <c r="H61" s="79">
        <f>ROUND($B$1*1.297,0)</f>
        <v>36201</v>
      </c>
      <c r="I61" s="56"/>
      <c r="J61" s="77">
        <f>ROUND($B$1*1.077,0)</f>
        <v>30060</v>
      </c>
      <c r="K61" s="77">
        <f>ROUND($B$1*0.772,0)</f>
        <v>21547</v>
      </c>
      <c r="L61" s="77">
        <f>ROUND($B$1*0.672,0)</f>
        <v>18756</v>
      </c>
      <c r="M61" s="75"/>
      <c r="N61" s="64"/>
      <c r="O61" s="64" t="s">
        <v>36</v>
      </c>
      <c r="P61" s="13" t="s">
        <v>38</v>
      </c>
      <c r="Q61" s="80"/>
      <c r="R61" s="64"/>
      <c r="S61" s="64"/>
      <c r="T61" s="13" t="s">
        <v>29</v>
      </c>
      <c r="U61" s="81">
        <v>0</v>
      </c>
      <c r="V61" s="64"/>
      <c r="W61" s="64"/>
      <c r="X61" s="82"/>
      <c r="Y61" s="64"/>
      <c r="Z61" s="64"/>
      <c r="AA61" s="64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4"/>
      <c r="AQ61" s="64"/>
      <c r="AR61" s="64"/>
      <c r="AS61" s="64"/>
      <c r="AT61" s="64"/>
      <c r="AU61" s="64"/>
      <c r="AV61" s="64"/>
      <c r="AW61" s="64"/>
      <c r="AX61" s="64"/>
      <c r="AY61" s="64"/>
      <c r="AZ61" s="64"/>
      <c r="BA61" s="64"/>
      <c r="BB61" s="64"/>
      <c r="BC61" s="64"/>
      <c r="BD61" s="64"/>
      <c r="BE61" s="64"/>
      <c r="BF61" s="64"/>
      <c r="BG61" s="64"/>
      <c r="BH61" s="64"/>
      <c r="BI61" s="64"/>
      <c r="BJ61" s="64"/>
      <c r="BK61" s="64"/>
      <c r="BL61" s="64"/>
      <c r="BM61" s="64"/>
      <c r="BN61" s="64"/>
      <c r="BO61" s="64"/>
      <c r="BP61" s="64"/>
      <c r="BQ61" s="64"/>
      <c r="BR61" s="64"/>
      <c r="BS61" s="64"/>
      <c r="BT61" s="64"/>
      <c r="BU61" s="64"/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</row>
    <row r="62" spans="1:109" s="55" customFormat="1" ht="14.15" customHeight="1" x14ac:dyDescent="0.2">
      <c r="A62" s="56"/>
      <c r="B62" s="76">
        <f>(ROUND($B$2*1.785,0))*$B$3</f>
        <v>2877.3879750000001</v>
      </c>
      <c r="C62" s="76">
        <f>(ROUND($B$2*1.575,0))*$B$3</f>
        <v>2538.8965035000001</v>
      </c>
      <c r="D62" s="77">
        <f>(ROUND($B$2*1.475,0))*$B$3</f>
        <v>2377.67859</v>
      </c>
      <c r="E62" s="78">
        <f>(ROUND($B$2*1.19,0))*$B$3</f>
        <v>1918.25865</v>
      </c>
      <c r="F62" s="77">
        <f>(ROUND($B$2*1.347,0))*$B$3</f>
        <v>2171.3605514999999</v>
      </c>
      <c r="G62" s="77">
        <f>(ROUND($B$2*1.115,0))*$B$3</f>
        <v>1797.3903149999999</v>
      </c>
      <c r="H62" s="79">
        <f>(ROUND($B$2*1.297,0))*$B$3</f>
        <v>2090.7816615000002</v>
      </c>
      <c r="I62" s="56"/>
      <c r="J62" s="77">
        <f>(ROUND($B$2*1.077,0))*$B$3</f>
        <v>1736.1142785</v>
      </c>
      <c r="K62" s="77">
        <f>(ROUND($B$2*0.772,0))*$B$3</f>
        <v>1244.4627825</v>
      </c>
      <c r="L62" s="77">
        <f>(ROUND($B$2*0.672,0))*$B$3</f>
        <v>1083.2448689999999</v>
      </c>
      <c r="M62" s="75"/>
      <c r="N62" s="64"/>
      <c r="O62" s="64"/>
      <c r="P62" s="13" t="s">
        <v>27</v>
      </c>
      <c r="Q62" s="1"/>
      <c r="R62" s="64"/>
      <c r="S62" s="64"/>
      <c r="T62" s="13" t="s">
        <v>30</v>
      </c>
      <c r="U62" s="81">
        <v>6.0133499999999999E-2</v>
      </c>
      <c r="V62" s="83"/>
      <c r="W62" s="83"/>
      <c r="X62" s="82"/>
      <c r="Y62" s="64"/>
      <c r="Z62" s="64"/>
      <c r="AA62" s="64"/>
      <c r="AB62" s="64"/>
      <c r="AC62" s="64"/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4"/>
      <c r="AQ62" s="64"/>
      <c r="AR62" s="64"/>
      <c r="AS62" s="64"/>
      <c r="AT62" s="64"/>
      <c r="AU62" s="64"/>
      <c r="AV62" s="64"/>
      <c r="AW62" s="64"/>
      <c r="AX62" s="64"/>
      <c r="AY62" s="64"/>
      <c r="AZ62" s="64"/>
      <c r="BA62" s="64"/>
      <c r="BB62" s="64"/>
      <c r="BC62" s="64"/>
      <c r="BD62" s="64"/>
      <c r="BE62" s="64"/>
      <c r="BF62" s="64"/>
      <c r="BG62" s="64"/>
      <c r="BH62" s="64"/>
      <c r="BI62" s="64"/>
      <c r="BJ62" s="64"/>
      <c r="BK62" s="64"/>
      <c r="BL62" s="64"/>
      <c r="BM62" s="64"/>
      <c r="BN62" s="64"/>
      <c r="BO62" s="64"/>
      <c r="BP62" s="64"/>
      <c r="BQ62" s="64"/>
      <c r="BR62" s="64"/>
      <c r="BS62" s="64"/>
      <c r="BT62" s="64"/>
      <c r="BU62" s="64"/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</row>
    <row r="63" spans="1:109" s="55" customFormat="1" ht="14.15" customHeight="1" x14ac:dyDescent="0.2">
      <c r="A63" s="56"/>
      <c r="B63" s="76">
        <f t="shared" ref="B63:H63" si="22">ROUND(B61+B62,0)</f>
        <v>52698</v>
      </c>
      <c r="C63" s="76">
        <f t="shared" si="22"/>
        <v>46499</v>
      </c>
      <c r="D63" s="77">
        <f t="shared" si="22"/>
        <v>43547</v>
      </c>
      <c r="E63" s="78">
        <f t="shared" si="22"/>
        <v>35132</v>
      </c>
      <c r="F63" s="77">
        <f t="shared" si="22"/>
        <v>39767</v>
      </c>
      <c r="G63" s="77">
        <f t="shared" si="22"/>
        <v>32918</v>
      </c>
      <c r="H63" s="79">
        <f t="shared" si="22"/>
        <v>38292</v>
      </c>
      <c r="I63" s="56"/>
      <c r="J63" s="77">
        <f>ROUND(J61+J62,0)</f>
        <v>31796</v>
      </c>
      <c r="K63" s="77">
        <f>ROUND(K61+K62,0)</f>
        <v>22791</v>
      </c>
      <c r="L63" s="77">
        <f>ROUND(L61+L62,0)</f>
        <v>19839</v>
      </c>
      <c r="M63" s="75"/>
      <c r="N63" s="64"/>
      <c r="O63" s="64"/>
      <c r="P63" s="84" t="s">
        <v>28</v>
      </c>
      <c r="Q63" s="64"/>
      <c r="R63" s="64"/>
      <c r="S63" s="85"/>
      <c r="T63" s="88" t="s">
        <v>39</v>
      </c>
      <c r="U63" s="81">
        <v>0</v>
      </c>
      <c r="V63" s="86"/>
      <c r="W63" s="86"/>
      <c r="X63" s="82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64"/>
      <c r="AS63" s="64"/>
      <c r="AT63" s="64"/>
      <c r="AU63" s="64"/>
      <c r="AV63" s="64"/>
      <c r="AW63" s="64"/>
      <c r="AX63" s="64"/>
      <c r="AY63" s="64"/>
      <c r="AZ63" s="64"/>
      <c r="BA63" s="64"/>
      <c r="BB63" s="64"/>
      <c r="BC63" s="64"/>
      <c r="BD63" s="64"/>
      <c r="BE63" s="64"/>
      <c r="BF63" s="64"/>
      <c r="BG63" s="64"/>
      <c r="BH63" s="64"/>
      <c r="BI63" s="64"/>
      <c r="BJ63" s="64"/>
      <c r="BK63" s="64"/>
      <c r="BL63" s="64"/>
      <c r="BM63" s="64"/>
      <c r="BN63" s="64"/>
      <c r="BO63" s="64"/>
      <c r="BP63" s="64"/>
      <c r="BQ63" s="64"/>
      <c r="BR63" s="64"/>
      <c r="BS63" s="64"/>
      <c r="BT63" s="64"/>
      <c r="BU63" s="64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</row>
    <row r="64" spans="1:109" ht="14.15" customHeight="1" x14ac:dyDescent="0.2">
      <c r="A64" s="1"/>
      <c r="C64" s="4"/>
      <c r="D64" s="1"/>
      <c r="E64" s="1"/>
      <c r="F64" s="1"/>
      <c r="G64" s="1"/>
      <c r="H64" s="1"/>
      <c r="I64" s="1"/>
      <c r="J64" s="1"/>
      <c r="K64" s="1"/>
      <c r="L64" s="1"/>
      <c r="M64" s="4"/>
      <c r="N64" s="1"/>
      <c r="O64" s="4"/>
      <c r="P64" s="4"/>
      <c r="Q64" s="4"/>
      <c r="R64" s="1"/>
      <c r="S64" s="87" t="s">
        <v>31</v>
      </c>
      <c r="T64" s="86"/>
      <c r="U64" s="1"/>
      <c r="V64" s="1"/>
      <c r="W64" s="1"/>
      <c r="X64" s="14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1.15" customHeight="1" x14ac:dyDescent="0.2">
      <c r="M65" s="1"/>
      <c r="N65" s="1"/>
      <c r="O65" s="1"/>
      <c r="P65" s="4"/>
      <c r="Q65" s="4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1.15" customHeight="1" x14ac:dyDescent="0.2">
      <c r="M66" s="1"/>
      <c r="N66" s="1"/>
      <c r="O66" s="1"/>
      <c r="P66" s="4"/>
      <c r="Q66" s="4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1.15" customHeight="1" x14ac:dyDescent="0.2">
      <c r="M67" s="1"/>
      <c r="N67" s="1"/>
      <c r="O67" s="1"/>
      <c r="P67" s="4"/>
      <c r="Q67" s="4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1.15" customHeight="1" x14ac:dyDescent="0.2">
      <c r="M68" s="1"/>
      <c r="N68" s="1"/>
      <c r="O68" s="1"/>
      <c r="P68" s="4"/>
      <c r="Q68" s="4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1.15" customHeight="1" x14ac:dyDescent="0.2">
      <c r="M69" s="1"/>
      <c r="N69" s="1"/>
      <c r="O69" s="1"/>
      <c r="P69" s="4"/>
      <c r="Q69" s="4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1.15" customHeight="1" x14ac:dyDescent="0.2">
      <c r="M70" s="1"/>
      <c r="N70" s="1"/>
      <c r="O70" s="1"/>
      <c r="P70" s="4"/>
      <c r="Q70" s="4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1.15" customHeight="1" x14ac:dyDescent="0.2">
      <c r="M71" s="1"/>
      <c r="N71" s="1"/>
      <c r="O71" s="1"/>
      <c r="P71" s="4"/>
      <c r="Q71" s="4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1.15" customHeight="1" x14ac:dyDescent="0.2">
      <c r="A72" s="1"/>
      <c r="B72" s="1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4"/>
      <c r="Q72" s="4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1.15" customHeight="1" x14ac:dyDescent="0.2">
      <c r="A73" s="1"/>
      <c r="B73" s="1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4"/>
      <c r="Q73" s="4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1.15" customHeight="1" x14ac:dyDescent="0.2">
      <c r="A74" s="1"/>
      <c r="B74" s="1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4"/>
      <c r="Q74" s="4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1.15" customHeight="1" x14ac:dyDescent="0.2">
      <c r="A75" s="1"/>
      <c r="B75" s="1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4"/>
      <c r="Q75" s="4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1.15" customHeight="1" x14ac:dyDescent="0.2">
      <c r="A76" s="1"/>
      <c r="B76" s="1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4"/>
      <c r="Q76" s="4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1.15" customHeight="1" x14ac:dyDescent="0.2">
      <c r="A77" s="80"/>
      <c r="B77" s="89"/>
      <c r="C77" s="90"/>
      <c r="D77" s="90"/>
      <c r="E77" s="90"/>
      <c r="F77" s="90"/>
      <c r="G77" s="90"/>
      <c r="H77" s="90"/>
      <c r="I77" s="80"/>
      <c r="J77" s="80"/>
      <c r="K77" s="80"/>
      <c r="L77" s="80"/>
      <c r="M77" s="1"/>
      <c r="N77" s="1"/>
      <c r="O77" s="1"/>
      <c r="P77" s="4"/>
      <c r="Q77" s="4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1.15" customHeight="1" x14ac:dyDescent="0.2">
      <c r="A78" s="1"/>
      <c r="B78" s="45"/>
      <c r="C78" s="91"/>
      <c r="D78" s="12"/>
      <c r="E78" s="12"/>
      <c r="F78" s="12"/>
      <c r="G78" s="12"/>
      <c r="H78" s="12"/>
      <c r="I78" s="1"/>
      <c r="J78" s="1"/>
      <c r="K78" s="1"/>
      <c r="L78" s="1"/>
      <c r="M78" s="1"/>
      <c r="N78" s="1"/>
      <c r="O78" s="1"/>
      <c r="P78" s="4"/>
      <c r="Q78" s="4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1.15" customHeight="1" x14ac:dyDescent="0.2">
      <c r="A79" s="1"/>
      <c r="B79" s="1"/>
      <c r="C79" s="4"/>
      <c r="D79" s="1"/>
      <c r="E79" s="1"/>
      <c r="F79" s="1"/>
      <c r="G79" s="12"/>
      <c r="H79" s="1"/>
      <c r="I79" s="1"/>
      <c r="J79" s="1"/>
      <c r="K79" s="1"/>
      <c r="L79" s="1"/>
      <c r="M79" s="1"/>
      <c r="N79" s="1"/>
      <c r="O79" s="1"/>
      <c r="P79" s="4"/>
      <c r="Q79" s="4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1.15" customHeight="1" x14ac:dyDescent="0.2">
      <c r="A80" s="31"/>
      <c r="B80" s="8"/>
      <c r="C80" s="9"/>
      <c r="D80" s="8"/>
      <c r="E80" s="8"/>
      <c r="F80" s="8"/>
      <c r="G80" s="8"/>
      <c r="H80" s="8"/>
      <c r="I80" s="8"/>
      <c r="J80" s="8"/>
      <c r="K80" s="8"/>
      <c r="L80" s="8"/>
      <c r="M80" s="8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1.1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1.1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1.1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1.1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1.15" customHeight="1" x14ac:dyDescent="0.2">
      <c r="A85" s="1"/>
      <c r="B85" s="1"/>
      <c r="C85" s="4"/>
      <c r="D85" s="1"/>
      <c r="E85" s="1"/>
      <c r="F85" s="1"/>
      <c r="G85" s="12"/>
      <c r="H85" s="1"/>
      <c r="I85" s="1"/>
      <c r="J85" s="1"/>
      <c r="K85" s="1"/>
      <c r="L85" s="1"/>
      <c r="M85" s="1"/>
      <c r="N85" s="1"/>
      <c r="O85" s="1"/>
      <c r="P85" s="4"/>
      <c r="Q85" s="4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1.15" customHeight="1" x14ac:dyDescent="0.2">
      <c r="A86" s="1"/>
      <c r="B86" s="1"/>
      <c r="C86" s="4"/>
      <c r="D86" s="1"/>
      <c r="E86" s="1"/>
      <c r="F86" s="1"/>
      <c r="G86" s="12"/>
      <c r="H86" s="1"/>
      <c r="I86" s="1"/>
      <c r="J86" s="1"/>
      <c r="K86" s="1"/>
      <c r="L86" s="1"/>
      <c r="M86" s="1"/>
      <c r="N86" s="1"/>
      <c r="O86" s="1"/>
      <c r="P86" s="4"/>
      <c r="Q86" s="4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1.15" customHeight="1" x14ac:dyDescent="0.2">
      <c r="A87" s="1"/>
      <c r="B87" s="1"/>
      <c r="C87" s="4"/>
      <c r="D87" s="1"/>
      <c r="E87" s="1"/>
      <c r="F87" s="1"/>
      <c r="G87" s="12"/>
      <c r="H87" s="1"/>
      <c r="I87" s="1"/>
      <c r="J87" s="1"/>
      <c r="K87" s="1"/>
      <c r="L87" s="1"/>
      <c r="M87" s="1"/>
      <c r="N87" s="1"/>
      <c r="O87" s="1"/>
      <c r="P87" s="4"/>
      <c r="Q87" s="4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1.15" customHeight="1" x14ac:dyDescent="0.2">
      <c r="G88" s="92"/>
    </row>
    <row r="89" spans="1:41" ht="11.15" customHeight="1" x14ac:dyDescent="0.2">
      <c r="G89" s="92"/>
    </row>
  </sheetData>
  <sheetProtection password="CA55" sheet="1" objects="1" scenarios="1"/>
  <phoneticPr fontId="0" type="noConversion"/>
  <printOptions horizontalCentered="1" gridLinesSet="0"/>
  <pageMargins left="0" right="0" top="0.5" bottom="0.25" header="0.5" footer="0.25"/>
  <pageSetup scale="65" orientation="landscape" horizontalDpi="300" verticalDpi="300" r:id="rId1"/>
  <headerFooter alignWithMargins="0">
    <oddHeader xml:space="preserve">&amp;C&amp;"Univers (WN),Bold"&amp;12SOUTH CAROLINA STATE DEPARTMENT OF EDUCATION
2013-14 STATE MINIMUM SALARY SCHEDULE
&amp;R&amp;"Univers,Bold"Final
&amp;14
</oddHeader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FINAL</vt:lpstr>
      <vt:lpstr>FINAL!Print_Area</vt:lpstr>
      <vt:lpstr>FINAL!Print_Area_MI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jcooley</dc:creator>
  <cp:lastModifiedBy>test</cp:lastModifiedBy>
  <cp:lastPrinted>2013-06-20T14:19:41Z</cp:lastPrinted>
  <dcterms:created xsi:type="dcterms:W3CDTF">1997-11-18T13:25:00Z</dcterms:created>
  <dcterms:modified xsi:type="dcterms:W3CDTF">2013-06-25T14:20:52Z</dcterms:modified>
</cp:coreProperties>
</file>